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N:\ИЭСБК_ИД\ФЭО\Обучение\БДР\Отчет БЗ_Факт\2025 год\12.Декабрь\"/>
    </mc:Choice>
  </mc:AlternateContent>
  <xr:revisionPtr revIDLastSave="0" documentId="8_{AAD166FE-9222-44DF-A49D-57C9962A23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ДО2 факт 2025г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" l="1"/>
  <c r="D6" i="1"/>
  <c r="C6" i="1"/>
  <c r="D11" i="1"/>
  <c r="C5" i="1"/>
  <c r="C11" i="1" l="1"/>
  <c r="C8" i="1"/>
  <c r="D7" i="1"/>
  <c r="Y3" i="2"/>
  <c r="X3" i="2"/>
  <c r="D9" i="1"/>
  <c r="W9" i="2"/>
  <c r="W10" i="2"/>
  <c r="W12" i="2"/>
  <c r="W13" i="2"/>
  <c r="W15" i="2"/>
  <c r="W16" i="2"/>
  <c r="W17" i="2"/>
  <c r="W18" i="2"/>
  <c r="W19" i="2"/>
  <c r="W20" i="2"/>
  <c r="W21" i="2"/>
  <c r="W22" i="2"/>
  <c r="W25" i="2"/>
  <c r="W26" i="2"/>
  <c r="W27" i="2"/>
  <c r="W28" i="2"/>
  <c r="W30" i="2"/>
  <c r="W31" i="2"/>
  <c r="W32" i="2"/>
  <c r="W34" i="2"/>
  <c r="W35" i="2"/>
  <c r="W36" i="2"/>
  <c r="W37" i="2"/>
  <c r="W38" i="2"/>
  <c r="W40" i="2"/>
  <c r="W41" i="2"/>
  <c r="W42" i="2"/>
  <c r="W43" i="2"/>
  <c r="W44" i="2"/>
  <c r="W45" i="2"/>
  <c r="W46" i="2"/>
  <c r="W47" i="2"/>
  <c r="W48" i="2"/>
  <c r="W49" i="2"/>
  <c r="W51" i="2"/>
  <c r="W52" i="2"/>
  <c r="W53" i="2"/>
  <c r="W54" i="2"/>
  <c r="W57" i="2"/>
  <c r="W58" i="2"/>
  <c r="W59" i="2"/>
  <c r="W60" i="2"/>
  <c r="W61" i="2"/>
  <c r="I61" i="2"/>
  <c r="E61" i="2"/>
  <c r="I60" i="2"/>
  <c r="E60" i="2"/>
  <c r="I59" i="2"/>
  <c r="E59" i="2"/>
  <c r="I58" i="2"/>
  <c r="H58" i="2"/>
  <c r="D56" i="2"/>
  <c r="D55" i="2" s="1"/>
  <c r="E58" i="2"/>
  <c r="I57" i="2"/>
  <c r="I56" i="2" s="1"/>
  <c r="H57" i="2"/>
  <c r="E57" i="2"/>
  <c r="C56" i="2"/>
  <c r="C55" i="2" s="1"/>
  <c r="N56" i="2"/>
  <c r="N55" i="2" s="1"/>
  <c r="M56" i="2"/>
  <c r="L56" i="2"/>
  <c r="L55" i="2" s="1"/>
  <c r="K56" i="2"/>
  <c r="J56" i="2"/>
  <c r="J55" i="2" s="1"/>
  <c r="F56" i="2"/>
  <c r="W56" i="2" s="1"/>
  <c r="M55" i="2"/>
  <c r="K55" i="2"/>
  <c r="I54" i="2"/>
  <c r="G50" i="2"/>
  <c r="E54" i="2"/>
  <c r="I53" i="2"/>
  <c r="H53" i="2"/>
  <c r="E53" i="2"/>
  <c r="Q52" i="2"/>
  <c r="I52" i="2"/>
  <c r="H52" i="2"/>
  <c r="E52" i="2"/>
  <c r="I51" i="2"/>
  <c r="E51" i="2"/>
  <c r="N50" i="2"/>
  <c r="M50" i="2"/>
  <c r="L50" i="2"/>
  <c r="K50" i="2"/>
  <c r="I49" i="2"/>
  <c r="H49" i="2"/>
  <c r="E49" i="2"/>
  <c r="I48" i="2"/>
  <c r="H48" i="2"/>
  <c r="E48" i="2"/>
  <c r="Q48" i="2" s="1"/>
  <c r="I47" i="2"/>
  <c r="E47" i="2"/>
  <c r="I46" i="2"/>
  <c r="H46" i="2"/>
  <c r="E46" i="2"/>
  <c r="I45" i="2"/>
  <c r="H45" i="2"/>
  <c r="E45" i="2"/>
  <c r="Q45" i="2" s="1"/>
  <c r="Q44" i="2"/>
  <c r="I44" i="2"/>
  <c r="H44" i="2"/>
  <c r="E44" i="2"/>
  <c r="I43" i="2"/>
  <c r="E43" i="2"/>
  <c r="I42" i="2"/>
  <c r="H42" i="2"/>
  <c r="E42" i="2"/>
  <c r="I41" i="2"/>
  <c r="H41" i="2"/>
  <c r="I40" i="2"/>
  <c r="H40" i="2"/>
  <c r="E40" i="2"/>
  <c r="Q40" i="2" s="1"/>
  <c r="C39" i="2"/>
  <c r="N39" i="2"/>
  <c r="M39" i="2"/>
  <c r="L39" i="2"/>
  <c r="K39" i="2"/>
  <c r="J39" i="2"/>
  <c r="I38" i="2"/>
  <c r="I37" i="2" s="1"/>
  <c r="N37" i="2"/>
  <c r="M37" i="2"/>
  <c r="L37" i="2"/>
  <c r="K37" i="2"/>
  <c r="J37" i="2"/>
  <c r="F37" i="2"/>
  <c r="D37" i="2"/>
  <c r="I36" i="2"/>
  <c r="H36" i="2"/>
  <c r="E36" i="2"/>
  <c r="Q36" i="2" s="1"/>
  <c r="H35" i="2"/>
  <c r="E35" i="2"/>
  <c r="I34" i="2"/>
  <c r="N33" i="2"/>
  <c r="M33" i="2"/>
  <c r="L33" i="2"/>
  <c r="L23" i="2" s="1"/>
  <c r="K33" i="2"/>
  <c r="D33" i="2"/>
  <c r="I32" i="2"/>
  <c r="H32" i="2"/>
  <c r="E32" i="2"/>
  <c r="Q32" i="2" s="1"/>
  <c r="H31" i="2"/>
  <c r="E31" i="2"/>
  <c r="I30" i="2"/>
  <c r="N29" i="2"/>
  <c r="M29" i="2"/>
  <c r="L29" i="2"/>
  <c r="K29" i="2"/>
  <c r="D29" i="2"/>
  <c r="I28" i="2"/>
  <c r="H28" i="2"/>
  <c r="E28" i="2"/>
  <c r="I27" i="2"/>
  <c r="E27" i="2"/>
  <c r="I26" i="2"/>
  <c r="H26" i="2"/>
  <c r="I25" i="2"/>
  <c r="H25" i="2"/>
  <c r="D24" i="2"/>
  <c r="N24" i="2"/>
  <c r="M24" i="2"/>
  <c r="L24" i="2"/>
  <c r="K24" i="2"/>
  <c r="J24" i="2"/>
  <c r="I24" i="2"/>
  <c r="G24" i="2"/>
  <c r="C24" i="2"/>
  <c r="N23" i="2"/>
  <c r="M23" i="2"/>
  <c r="H22" i="2"/>
  <c r="E22" i="2"/>
  <c r="Q22" i="2" s="1"/>
  <c r="I21" i="2"/>
  <c r="H21" i="2"/>
  <c r="E21" i="2"/>
  <c r="I20" i="2"/>
  <c r="H20" i="2"/>
  <c r="E20" i="2"/>
  <c r="I19" i="2"/>
  <c r="H19" i="2"/>
  <c r="D17" i="2"/>
  <c r="I18" i="2"/>
  <c r="H18" i="2"/>
  <c r="E18" i="2"/>
  <c r="C17" i="2"/>
  <c r="N17" i="2"/>
  <c r="M17" i="2"/>
  <c r="L17" i="2"/>
  <c r="K17" i="2"/>
  <c r="J17" i="2"/>
  <c r="F17" i="2"/>
  <c r="G14" i="2"/>
  <c r="E16" i="2"/>
  <c r="Q16" i="2" s="1"/>
  <c r="J14" i="2"/>
  <c r="H15" i="2"/>
  <c r="D14" i="2"/>
  <c r="N14" i="2"/>
  <c r="M14" i="2"/>
  <c r="L14" i="2"/>
  <c r="K14" i="2"/>
  <c r="I14" i="2"/>
  <c r="I13" i="2"/>
  <c r="E13" i="2"/>
  <c r="I12" i="2"/>
  <c r="I11" i="2" s="1"/>
  <c r="N11" i="2"/>
  <c r="M11" i="2"/>
  <c r="L11" i="2"/>
  <c r="K11" i="2"/>
  <c r="D11" i="2"/>
  <c r="Q10" i="2"/>
  <c r="I10" i="2"/>
  <c r="H10" i="2"/>
  <c r="E10" i="2"/>
  <c r="H9" i="2"/>
  <c r="E9" i="2"/>
  <c r="N8" i="2"/>
  <c r="M8" i="2"/>
  <c r="L8" i="2"/>
  <c r="L7" i="2" s="1"/>
  <c r="K8" i="2"/>
  <c r="G8" i="2"/>
  <c r="D8" i="2"/>
  <c r="C8" i="2"/>
  <c r="D7" i="2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A1" i="2"/>
  <c r="L6" i="2" l="1"/>
  <c r="L5" i="2" s="1"/>
  <c r="K7" i="2"/>
  <c r="K23" i="2"/>
  <c r="Q42" i="2"/>
  <c r="O42" i="2" s="1"/>
  <c r="Q58" i="2"/>
  <c r="Q59" i="2"/>
  <c r="Q61" i="2"/>
  <c r="R61" i="2" s="1"/>
  <c r="H8" i="2"/>
  <c r="M7" i="2"/>
  <c r="M6" i="2" s="1"/>
  <c r="M5" i="2" s="1"/>
  <c r="N7" i="2"/>
  <c r="N6" i="2" s="1"/>
  <c r="N5" i="2" s="1"/>
  <c r="Q20" i="2"/>
  <c r="R20" i="2" s="1"/>
  <c r="Q28" i="2"/>
  <c r="R28" i="2" s="1"/>
  <c r="Q46" i="2"/>
  <c r="O46" i="2" s="1"/>
  <c r="Q49" i="2"/>
  <c r="I50" i="2"/>
  <c r="Q54" i="2"/>
  <c r="O54" i="2" s="1"/>
  <c r="P54" i="2" s="1"/>
  <c r="Q53" i="2"/>
  <c r="Q60" i="2"/>
  <c r="O60" i="2" s="1"/>
  <c r="O10" i="2"/>
  <c r="P10" i="2" s="1"/>
  <c r="R10" i="2"/>
  <c r="O28" i="2"/>
  <c r="P28" i="2" s="1"/>
  <c r="O40" i="2"/>
  <c r="R40" i="2"/>
  <c r="K6" i="2"/>
  <c r="K5" i="2" s="1"/>
  <c r="F8" i="2"/>
  <c r="W8" i="2" s="1"/>
  <c r="Q13" i="2"/>
  <c r="R16" i="2"/>
  <c r="O16" i="2"/>
  <c r="P16" i="2" s="1"/>
  <c r="R22" i="2"/>
  <c r="O22" i="2"/>
  <c r="P22" i="2"/>
  <c r="H13" i="2"/>
  <c r="O32" i="2"/>
  <c r="P32" i="2" s="1"/>
  <c r="R32" i="2"/>
  <c r="O48" i="2"/>
  <c r="P48" i="2" s="1"/>
  <c r="R48" i="2"/>
  <c r="H50" i="2"/>
  <c r="O59" i="2"/>
  <c r="R59" i="2"/>
  <c r="C11" i="2"/>
  <c r="E12" i="2"/>
  <c r="F11" i="2"/>
  <c r="W11" i="2" s="1"/>
  <c r="E8" i="2"/>
  <c r="I9" i="2"/>
  <c r="I8" i="2" s="1"/>
  <c r="J8" i="2"/>
  <c r="J7" i="2" s="1"/>
  <c r="G11" i="2"/>
  <c r="H12" i="2"/>
  <c r="H11" i="2" s="1"/>
  <c r="I17" i="2"/>
  <c r="Q21" i="2"/>
  <c r="I31" i="2"/>
  <c r="I29" i="2" s="1"/>
  <c r="J29" i="2"/>
  <c r="O36" i="2"/>
  <c r="P36" i="2" s="1"/>
  <c r="R36" i="2"/>
  <c r="H43" i="2"/>
  <c r="F14" i="2"/>
  <c r="W14" i="2" s="1"/>
  <c r="E15" i="2"/>
  <c r="H16" i="2"/>
  <c r="H14" i="2" s="1"/>
  <c r="G17" i="2"/>
  <c r="H17" i="2" s="1"/>
  <c r="E19" i="2"/>
  <c r="Q19" i="2" s="1"/>
  <c r="H27" i="2"/>
  <c r="F29" i="2"/>
  <c r="W29" i="2" s="1"/>
  <c r="G33" i="2"/>
  <c r="H34" i="2"/>
  <c r="Q47" i="2"/>
  <c r="F50" i="2"/>
  <c r="W50" i="2" s="1"/>
  <c r="H51" i="2"/>
  <c r="R54" i="2"/>
  <c r="F55" i="2"/>
  <c r="W55" i="2" s="1"/>
  <c r="I55" i="2"/>
  <c r="R58" i="2"/>
  <c r="R60" i="2"/>
  <c r="F24" i="2"/>
  <c r="O52" i="2"/>
  <c r="P52" i="2" s="1"/>
  <c r="R52" i="2"/>
  <c r="J11" i="2"/>
  <c r="C14" i="2"/>
  <c r="E25" i="2"/>
  <c r="G29" i="2"/>
  <c r="H30" i="2"/>
  <c r="C33" i="2"/>
  <c r="E34" i="2"/>
  <c r="G37" i="2"/>
  <c r="H37" i="2" s="1"/>
  <c r="H38" i="2"/>
  <c r="O45" i="2"/>
  <c r="P45" i="2" s="1"/>
  <c r="R45" i="2"/>
  <c r="H47" i="2"/>
  <c r="C50" i="2"/>
  <c r="E56" i="2"/>
  <c r="E55" i="2" s="1"/>
  <c r="Q18" i="2"/>
  <c r="F33" i="2"/>
  <c r="W33" i="2" s="1"/>
  <c r="E39" i="2"/>
  <c r="D39" i="2"/>
  <c r="D23" i="2" s="1"/>
  <c r="D6" i="2" s="1"/>
  <c r="D5" i="2" s="1"/>
  <c r="E41" i="2"/>
  <c r="Q41" i="2" s="1"/>
  <c r="R46" i="2"/>
  <c r="P46" i="2"/>
  <c r="O49" i="2"/>
  <c r="P49" i="2" s="1"/>
  <c r="R49" i="2"/>
  <c r="Q51" i="2"/>
  <c r="E50" i="2"/>
  <c r="E26" i="2"/>
  <c r="Q26" i="2" s="1"/>
  <c r="Q27" i="2"/>
  <c r="C29" i="2"/>
  <c r="E30" i="2"/>
  <c r="I35" i="2"/>
  <c r="I33" i="2" s="1"/>
  <c r="J33" i="2"/>
  <c r="C37" i="2"/>
  <c r="E38" i="2"/>
  <c r="F39" i="2"/>
  <c r="W39" i="2" s="1"/>
  <c r="I39" i="2"/>
  <c r="Q43" i="2"/>
  <c r="O44" i="2"/>
  <c r="P44" i="2" s="1"/>
  <c r="R44" i="2"/>
  <c r="O53" i="2"/>
  <c r="P53" i="2" s="1"/>
  <c r="R53" i="2"/>
  <c r="Q57" i="2"/>
  <c r="P58" i="2"/>
  <c r="O58" i="2" s="1"/>
  <c r="G39" i="2"/>
  <c r="D50" i="2"/>
  <c r="G56" i="2"/>
  <c r="Q35" i="2" l="1"/>
  <c r="Q39" i="2"/>
  <c r="R42" i="2"/>
  <c r="Q31" i="2"/>
  <c r="O31" i="2" s="1"/>
  <c r="P31" i="2" s="1"/>
  <c r="O61" i="2"/>
  <c r="C7" i="2"/>
  <c r="O20" i="2"/>
  <c r="P20" i="2" s="1"/>
  <c r="P42" i="2"/>
  <c r="H39" i="2"/>
  <c r="H24" i="2"/>
  <c r="W24" i="2"/>
  <c r="E24" i="2"/>
  <c r="Q25" i="2"/>
  <c r="H56" i="2"/>
  <c r="G55" i="2"/>
  <c r="H55" i="2" s="1"/>
  <c r="P57" i="2"/>
  <c r="P56" i="2" s="1"/>
  <c r="P55" i="2" s="1"/>
  <c r="Q56" i="2"/>
  <c r="Q55" i="2" s="1"/>
  <c r="R57" i="2"/>
  <c r="R56" i="2" s="1"/>
  <c r="R55" i="2" s="1"/>
  <c r="C23" i="2"/>
  <c r="C6" i="2" s="1"/>
  <c r="C5" i="2" s="1"/>
  <c r="Q50" i="2"/>
  <c r="O51" i="2"/>
  <c r="O50" i="2" s="1"/>
  <c r="R51" i="2"/>
  <c r="R50" i="2" s="1"/>
  <c r="H33" i="2"/>
  <c r="E14" i="2"/>
  <c r="Q15" i="2"/>
  <c r="I7" i="2"/>
  <c r="G7" i="2"/>
  <c r="F7" i="2"/>
  <c r="W7" i="2" s="1"/>
  <c r="Q38" i="2"/>
  <c r="E37" i="2"/>
  <c r="O35" i="2"/>
  <c r="P35" i="2" s="1"/>
  <c r="R35" i="2"/>
  <c r="O27" i="2"/>
  <c r="P27" i="2" s="1"/>
  <c r="R27" i="2"/>
  <c r="O41" i="2"/>
  <c r="O39" i="2" s="1"/>
  <c r="R41" i="2"/>
  <c r="O19" i="2"/>
  <c r="P19" i="2" s="1"/>
  <c r="R19" i="2"/>
  <c r="J23" i="2"/>
  <c r="J6" i="2" s="1"/>
  <c r="J5" i="2" s="1"/>
  <c r="E17" i="2"/>
  <c r="P40" i="2"/>
  <c r="Q30" i="2"/>
  <c r="E29" i="2"/>
  <c r="Q34" i="2"/>
  <c r="E33" i="2"/>
  <c r="R21" i="2"/>
  <c r="O21" i="2"/>
  <c r="P21" i="2" s="1"/>
  <c r="P43" i="2"/>
  <c r="O43" i="2"/>
  <c r="R43" i="2"/>
  <c r="I23" i="2"/>
  <c r="R26" i="2"/>
  <c r="O26" i="2"/>
  <c r="P26" i="2" s="1"/>
  <c r="P18" i="2"/>
  <c r="Q17" i="2"/>
  <c r="O18" i="2"/>
  <c r="R18" i="2"/>
  <c r="H29" i="2"/>
  <c r="G23" i="2"/>
  <c r="H23" i="2" s="1"/>
  <c r="F23" i="2"/>
  <c r="W23" i="2" s="1"/>
  <c r="O47" i="2"/>
  <c r="P47" i="2" s="1"/>
  <c r="R47" i="2"/>
  <c r="Q9" i="2"/>
  <c r="Q12" i="2"/>
  <c r="E11" i="2"/>
  <c r="O13" i="2"/>
  <c r="P13" i="2" s="1"/>
  <c r="R13" i="2"/>
  <c r="R39" i="2"/>
  <c r="R31" i="2" l="1"/>
  <c r="I6" i="2"/>
  <c r="I5" i="2" s="1"/>
  <c r="E7" i="2"/>
  <c r="R38" i="2"/>
  <c r="R37" i="2" s="1"/>
  <c r="Q37" i="2"/>
  <c r="O38" i="2"/>
  <c r="O37" i="2" s="1"/>
  <c r="R12" i="2"/>
  <c r="R11" i="2" s="1"/>
  <c r="Q11" i="2"/>
  <c r="O12" i="2"/>
  <c r="O11" i="2" s="1"/>
  <c r="P17" i="2"/>
  <c r="R34" i="2"/>
  <c r="R33" i="2" s="1"/>
  <c r="Q33" i="2"/>
  <c r="O34" i="2"/>
  <c r="O33" i="2" s="1"/>
  <c r="O15" i="2"/>
  <c r="O14" i="2" s="1"/>
  <c r="R15" i="2"/>
  <c r="R14" i="2" s="1"/>
  <c r="Q14" i="2"/>
  <c r="O25" i="2"/>
  <c r="O24" i="2" s="1"/>
  <c r="R25" i="2"/>
  <c r="R24" i="2" s="1"/>
  <c r="Q24" i="2"/>
  <c r="Q8" i="2"/>
  <c r="O9" i="2"/>
  <c r="O8" i="2" s="1"/>
  <c r="R9" i="2"/>
  <c r="R8" i="2" s="1"/>
  <c r="R17" i="2"/>
  <c r="P41" i="2"/>
  <c r="P39" i="2" s="1"/>
  <c r="F6" i="2"/>
  <c r="W6" i="2" s="1"/>
  <c r="O57" i="2"/>
  <c r="O56" i="2" s="1"/>
  <c r="O55" i="2" s="1"/>
  <c r="E23" i="2"/>
  <c r="E6" i="2" s="1"/>
  <c r="E5" i="2" s="1"/>
  <c r="O17" i="2"/>
  <c r="R30" i="2"/>
  <c r="R29" i="2" s="1"/>
  <c r="Q29" i="2"/>
  <c r="O30" i="2"/>
  <c r="O29" i="2" s="1"/>
  <c r="G6" i="2"/>
  <c r="H7" i="2"/>
  <c r="P51" i="2"/>
  <c r="P50" i="2" s="1"/>
  <c r="O23" i="2" l="1"/>
  <c r="P9" i="2"/>
  <c r="P8" i="2" s="1"/>
  <c r="P30" i="2"/>
  <c r="P29" i="2" s="1"/>
  <c r="P12" i="2"/>
  <c r="P11" i="2" s="1"/>
  <c r="P7" i="2" s="1"/>
  <c r="P38" i="2"/>
  <c r="P37" i="2" s="1"/>
  <c r="F5" i="2"/>
  <c r="W5" i="2" s="1"/>
  <c r="R7" i="2"/>
  <c r="P25" i="2"/>
  <c r="P24" i="2" s="1"/>
  <c r="P23" i="2" s="1"/>
  <c r="H6" i="2"/>
  <c r="G5" i="2"/>
  <c r="H5" i="2" s="1"/>
  <c r="O7" i="2"/>
  <c r="O6" i="2" s="1"/>
  <c r="O5" i="2" s="1"/>
  <c r="Q23" i="2"/>
  <c r="P15" i="2"/>
  <c r="P14" i="2" s="1"/>
  <c r="Q7" i="2"/>
  <c r="R23" i="2"/>
  <c r="P34" i="2"/>
  <c r="P33" i="2" s="1"/>
  <c r="R6" i="2" l="1"/>
  <c r="R5" i="2" s="1"/>
  <c r="P6" i="2"/>
  <c r="P5" i="2" s="1"/>
  <c r="Q6" i="2"/>
  <c r="Q5" i="2" s="1"/>
</calcChain>
</file>

<file path=xl/sharedStrings.xml><?xml version="1.0" encoding="utf-8"?>
<sst xmlns="http://schemas.openxmlformats.org/spreadsheetml/2006/main" count="100" uniqueCount="93">
  <si>
    <t xml:space="preserve">Структура и объем затрат на производство и реализацию товаров (работ, услуг) 
 </t>
  </si>
  <si>
    <t>Структура затрат</t>
  </si>
  <si>
    <t>1.</t>
  </si>
  <si>
    <t>Покупка энергии и мощности</t>
  </si>
  <si>
    <t>1.1.</t>
  </si>
  <si>
    <t>Оптовый рынок</t>
  </si>
  <si>
    <t>1.1.1.</t>
  </si>
  <si>
    <t>регулируемые цены</t>
  </si>
  <si>
    <t>1.1.2.</t>
  </si>
  <si>
    <t>нерегулируемые цены</t>
  </si>
  <si>
    <t>1.2.</t>
  </si>
  <si>
    <t>Розничный рынок</t>
  </si>
  <si>
    <t>2.</t>
  </si>
  <si>
    <t>Передача электроэнергии</t>
  </si>
  <si>
    <t>3.</t>
  </si>
  <si>
    <t>Сбыт электроэнергии</t>
  </si>
  <si>
    <t>3.1.</t>
  </si>
  <si>
    <t>Собственные расходы</t>
  </si>
  <si>
    <t>3.2.</t>
  </si>
  <si>
    <t>Оплата услуг инфраструктурных организаций</t>
  </si>
  <si>
    <t>Потребители</t>
  </si>
  <si>
    <t>Дебиторская задолженность на  начало периода</t>
  </si>
  <si>
    <t>Кредиторская задолженность на начало периода</t>
  </si>
  <si>
    <t>Сальдо задолженности на начало периода</t>
  </si>
  <si>
    <t>Начислено
(тыс.руб.)</t>
  </si>
  <si>
    <t>Объем 
(млн.кВтч; МВт)</t>
  </si>
  <si>
    <t>Цена 
(коп/кВтч; руб/МВт)</t>
  </si>
  <si>
    <t>Оплата, 
всего</t>
  </si>
  <si>
    <t>Денежные средства</t>
  </si>
  <si>
    <t>Векселя</t>
  </si>
  <si>
    <t>Взаимозачеты</t>
  </si>
  <si>
    <t>Уступка права требования</t>
  </si>
  <si>
    <t>Списание задолженности</t>
  </si>
  <si>
    <t>Дебиторская задолженность на конец периода</t>
  </si>
  <si>
    <t>Кредиторская задолженность на конец периода</t>
  </si>
  <si>
    <t>Сальдо задолженности на конец периода</t>
  </si>
  <si>
    <t>Изменение задолженности</t>
  </si>
  <si>
    <t>Всего покупка на ОРЭ и РРЭ</t>
  </si>
  <si>
    <t>Всего покупка на ОРЭ</t>
  </si>
  <si>
    <t>Покупная электроэнергия на ОРЭ</t>
  </si>
  <si>
    <t>ООО "БЭК"</t>
  </si>
  <si>
    <t xml:space="preserve">РД БЭК </t>
  </si>
  <si>
    <t xml:space="preserve">СДД БЭК </t>
  </si>
  <si>
    <t>ООО "Евросибэнерго-гидрогенерация"</t>
  </si>
  <si>
    <t xml:space="preserve">РД ЕСЭГГ </t>
  </si>
  <si>
    <t xml:space="preserve">СДД ЕСЭГГ </t>
  </si>
  <si>
    <t>АО "Евросибэнерго"</t>
  </si>
  <si>
    <t xml:space="preserve">РД ЕСЭ </t>
  </si>
  <si>
    <t xml:space="preserve">СДД ЕСЭ </t>
  </si>
  <si>
    <t>Прочие</t>
  </si>
  <si>
    <t xml:space="preserve">РД </t>
  </si>
  <si>
    <t>СДД</t>
  </si>
  <si>
    <t xml:space="preserve">РСВ </t>
  </si>
  <si>
    <t xml:space="preserve">БР </t>
  </si>
  <si>
    <t xml:space="preserve">Электрическая мощность </t>
  </si>
  <si>
    <t>СДМ БЭК</t>
  </si>
  <si>
    <t>КОММОД БЭК</t>
  </si>
  <si>
    <t>КОМ (ДРМ) БЭК</t>
  </si>
  <si>
    <t>СДМ ЕСЭГГ</t>
  </si>
  <si>
    <t>КОМ (ДРМ) ЕСЭГГ</t>
  </si>
  <si>
    <t>СДМ ЕСЭ</t>
  </si>
  <si>
    <t>КОМ (ДРМ) ЕСЭ</t>
  </si>
  <si>
    <t>ООО "Абаканская СЭС</t>
  </si>
  <si>
    <t>ДПМ ВИЭ АСЭС</t>
  </si>
  <si>
    <t>РД</t>
  </si>
  <si>
    <t>ДПМ ВИЭ</t>
  </si>
  <si>
    <t>КОМ без НДС</t>
  </si>
  <si>
    <t>КОММОД</t>
  </si>
  <si>
    <t>ДПМ</t>
  </si>
  <si>
    <t>КОМ (ДРМ)</t>
  </si>
  <si>
    <t>Покупка эл.энергии на РРЭ БЭК</t>
  </si>
  <si>
    <t>Покупка эл.энергии на РРЭ Прочие</t>
  </si>
  <si>
    <t>Покупка мощности на РРЭ БЭК</t>
  </si>
  <si>
    <t>Покупка мощности на РРЭ Прочие</t>
  </si>
  <si>
    <t>Плата за услуги на ОРЭ</t>
  </si>
  <si>
    <t>услуги СО ЕЭС</t>
  </si>
  <si>
    <t>услуги ЦФР</t>
  </si>
  <si>
    <t>услуги АТС</t>
  </si>
  <si>
    <t>комиссия ЦФР</t>
  </si>
  <si>
    <t>Всего продажа на ОРЭ</t>
  </si>
  <si>
    <t xml:space="preserve">Продажи электроэнергии </t>
  </si>
  <si>
    <t>РСВ</t>
  </si>
  <si>
    <t>БР</t>
  </si>
  <si>
    <t>Договоры цессии</t>
  </si>
  <si>
    <t>Услуги УИРП</t>
  </si>
  <si>
    <t>Атрибуты генерации по договору ССД Эн+ Гидро</t>
  </si>
  <si>
    <t>без НДС</t>
  </si>
  <si>
    <t>Факт 2025</t>
  </si>
  <si>
    <t>Факт 2024г</t>
  </si>
  <si>
    <t>Начислено без НДС</t>
  </si>
  <si>
    <t>Факт 2024 год
тыс.руб.</t>
  </si>
  <si>
    <t>Факт 2025 год
тыс.руб.</t>
  </si>
  <si>
    <t>ООО "Иркутскэнергосбыт"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</si>
</sst>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"/>
    <numFmt numFmtId="165" formatCode="#,##0.000"/>
    <numFmt numFmtId="166" formatCode="#,##0.0000"/>
    <numFmt numFmtId="167" formatCode="#,##0.0"/>
    <numFmt numFmtId="168" formatCode="0.0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"/>
      <name val="Courier New"/>
      <family val="3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</font>
    <font>
      <b/>
      <sz val="8"/>
      <name val="Courier New"/>
      <family val="3"/>
      <charset val="204"/>
    </font>
    <font>
      <b/>
      <sz val="9"/>
      <name val="Courier New"/>
      <family val="3"/>
      <charset val="204"/>
    </font>
    <font>
      <sz val="8"/>
      <name val="Courier New"/>
      <family val="3"/>
      <charset val="204"/>
    </font>
    <font>
      <b/>
      <sz val="10"/>
      <color indexed="10"/>
      <name val="Courier New"/>
      <family val="3"/>
      <charset val="204"/>
    </font>
    <font>
      <sz val="10"/>
      <name val="Courier New"/>
      <family val="3"/>
      <charset val="204"/>
    </font>
    <font>
      <sz val="10"/>
      <color indexed="10"/>
      <name val="Courier New"/>
      <family val="3"/>
      <charset val="204"/>
    </font>
    <font>
      <sz val="10"/>
      <color rgb="FF0000FF"/>
      <name val="Courier New"/>
      <family val="3"/>
      <charset val="204"/>
    </font>
    <font>
      <sz val="10"/>
      <color indexed="12"/>
      <name val="Courier New"/>
      <family val="3"/>
      <charset val="204"/>
    </font>
    <font>
      <sz val="10"/>
      <color rgb="FFFF0000"/>
      <name val="Courier New"/>
      <family val="3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horizontal="left"/>
    </xf>
    <xf numFmtId="0" fontId="4" fillId="0" borderId="0"/>
    <xf numFmtId="0" fontId="5" fillId="0" borderId="0"/>
    <xf numFmtId="0" fontId="15" fillId="0" borderId="0"/>
  </cellStyleXfs>
  <cellXfs count="115">
    <xf numFmtId="0" fontId="0" fillId="0" borderId="0" xfId="0"/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2"/>
    </xf>
    <xf numFmtId="0" fontId="0" fillId="0" borderId="1" xfId="0" applyBorder="1" applyAlignment="1">
      <alignment horizontal="left" vertical="center" indent="3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/>
    <xf numFmtId="3" fontId="0" fillId="0" borderId="1" xfId="0" applyNumberFormat="1" applyFill="1" applyBorder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2"/>
    <xf numFmtId="164" fontId="4" fillId="0" borderId="0" xfId="2" applyNumberFormat="1"/>
    <xf numFmtId="3" fontId="4" fillId="0" borderId="0" xfId="2" applyNumberFormat="1"/>
    <xf numFmtId="165" fontId="4" fillId="0" borderId="0" xfId="2" applyNumberFormat="1"/>
    <xf numFmtId="0" fontId="6" fillId="0" borderId="2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3" fillId="0" borderId="6" xfId="3" applyFont="1" applyBorder="1" applyAlignment="1">
      <alignment horizontal="left" vertical="center"/>
    </xf>
    <xf numFmtId="3" fontId="9" fillId="0" borderId="7" xfId="3" applyNumberFormat="1" applyFont="1" applyBorder="1" applyAlignment="1" applyProtection="1">
      <alignment horizontal="center" vertical="center"/>
      <protection locked="0"/>
    </xf>
    <xf numFmtId="2" fontId="10" fillId="0" borderId="8" xfId="3" applyNumberFormat="1" applyFont="1" applyBorder="1" applyAlignment="1" applyProtection="1">
      <alignment horizontal="center" vertical="center"/>
      <protection locked="0"/>
    </xf>
    <xf numFmtId="3" fontId="9" fillId="0" borderId="9" xfId="3" applyNumberFormat="1" applyFont="1" applyBorder="1" applyAlignment="1" applyProtection="1">
      <alignment horizontal="center" vertical="center"/>
      <protection locked="0"/>
    </xf>
    <xf numFmtId="166" fontId="4" fillId="0" borderId="0" xfId="2" applyNumberFormat="1"/>
    <xf numFmtId="0" fontId="3" fillId="0" borderId="10" xfId="3" applyFont="1" applyBorder="1" applyAlignment="1">
      <alignment horizontal="left" vertical="center"/>
    </xf>
    <xf numFmtId="3" fontId="9" fillId="0" borderId="8" xfId="3" applyNumberFormat="1" applyFont="1" applyBorder="1" applyAlignment="1" applyProtection="1">
      <alignment horizontal="center" vertical="center"/>
      <protection locked="0"/>
    </xf>
    <xf numFmtId="3" fontId="9" fillId="0" borderId="11" xfId="3" applyNumberFormat="1" applyFont="1" applyBorder="1" applyAlignment="1" applyProtection="1">
      <alignment horizontal="center" vertical="center"/>
      <protection locked="0"/>
    </xf>
    <xf numFmtId="0" fontId="3" fillId="0" borderId="10" xfId="3" applyFont="1" applyBorder="1" applyAlignment="1">
      <alignment horizontal="left" vertical="center" indent="1"/>
    </xf>
    <xf numFmtId="3" fontId="11" fillId="0" borderId="8" xfId="3" applyNumberFormat="1" applyFont="1" applyBorder="1" applyAlignment="1" applyProtection="1">
      <alignment horizontal="center" vertical="center"/>
      <protection locked="0"/>
    </xf>
    <xf numFmtId="2" fontId="11" fillId="0" borderId="8" xfId="3" applyNumberFormat="1" applyFont="1" applyBorder="1" applyAlignment="1" applyProtection="1">
      <alignment horizontal="center" vertical="center"/>
      <protection locked="0"/>
    </xf>
    <xf numFmtId="3" fontId="11" fillId="0" borderId="11" xfId="3" applyNumberFormat="1" applyFont="1" applyBorder="1" applyAlignment="1" applyProtection="1">
      <alignment horizontal="center" vertical="center"/>
      <protection locked="0"/>
    </xf>
    <xf numFmtId="0" fontId="12" fillId="0" borderId="12" xfId="3" applyFont="1" applyBorder="1" applyAlignment="1">
      <alignment horizontal="left" vertical="center" indent="4"/>
    </xf>
    <xf numFmtId="3" fontId="12" fillId="0" borderId="8" xfId="3" applyNumberFormat="1" applyFont="1" applyBorder="1" applyAlignment="1" applyProtection="1">
      <alignment horizontal="center" vertical="center"/>
      <protection locked="0"/>
    </xf>
    <xf numFmtId="2" fontId="12" fillId="0" borderId="8" xfId="3" applyNumberFormat="1" applyFont="1" applyBorder="1" applyAlignment="1" applyProtection="1">
      <alignment horizontal="center" vertical="center"/>
      <protection locked="0"/>
    </xf>
    <xf numFmtId="3" fontId="12" fillId="0" borderId="8" xfId="3" applyNumberFormat="1" applyFont="1" applyBorder="1" applyAlignment="1">
      <alignment horizontal="center" vertical="center"/>
    </xf>
    <xf numFmtId="3" fontId="12" fillId="0" borderId="11" xfId="3" applyNumberFormat="1" applyFont="1" applyBorder="1" applyAlignment="1" applyProtection="1">
      <alignment horizontal="center" vertical="center"/>
      <protection locked="0"/>
    </xf>
    <xf numFmtId="0" fontId="13" fillId="0" borderId="12" xfId="3" applyFont="1" applyBorder="1" applyAlignment="1">
      <alignment horizontal="left" vertical="center" indent="4"/>
    </xf>
    <xf numFmtId="167" fontId="12" fillId="0" borderId="8" xfId="3" applyNumberFormat="1" applyFont="1" applyBorder="1" applyAlignment="1">
      <alignment horizontal="center" vertical="center"/>
    </xf>
    <xf numFmtId="0" fontId="10" fillId="0" borderId="12" xfId="3" applyFont="1" applyBorder="1" applyAlignment="1">
      <alignment horizontal="left" vertical="center" indent="4"/>
    </xf>
    <xf numFmtId="3" fontId="10" fillId="0" borderId="8" xfId="3" applyNumberFormat="1" applyFont="1" applyBorder="1" applyAlignment="1" applyProtection="1">
      <alignment horizontal="center" vertical="center"/>
      <protection locked="0"/>
    </xf>
    <xf numFmtId="3" fontId="10" fillId="0" borderId="8" xfId="3" applyNumberFormat="1" applyFont="1" applyBorder="1" applyAlignment="1">
      <alignment horizontal="center" vertical="center"/>
    </xf>
    <xf numFmtId="3" fontId="10" fillId="0" borderId="11" xfId="3" applyNumberFormat="1" applyFont="1" applyBorder="1" applyAlignment="1" applyProtection="1">
      <alignment horizontal="center" vertical="center"/>
      <protection locked="0"/>
    </xf>
    <xf numFmtId="2" fontId="14" fillId="0" borderId="8" xfId="3" applyNumberFormat="1" applyFont="1" applyBorder="1" applyAlignment="1" applyProtection="1">
      <alignment horizontal="center" vertical="center"/>
      <protection locked="0"/>
    </xf>
    <xf numFmtId="4" fontId="14" fillId="0" borderId="8" xfId="3" applyNumberFormat="1" applyFont="1" applyBorder="1" applyAlignment="1" applyProtection="1">
      <alignment horizontal="center" vertical="center"/>
      <protection locked="0"/>
    </xf>
    <xf numFmtId="165" fontId="11" fillId="0" borderId="8" xfId="3" applyNumberFormat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left" vertical="center" indent="4"/>
    </xf>
    <xf numFmtId="165" fontId="12" fillId="0" borderId="8" xfId="3" applyNumberFormat="1" applyFont="1" applyBorder="1" applyAlignment="1">
      <alignment horizontal="center" vertical="center"/>
    </xf>
    <xf numFmtId="4" fontId="12" fillId="0" borderId="8" xfId="3" applyNumberFormat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>
      <alignment horizontal="left" vertical="center" indent="4"/>
    </xf>
    <xf numFmtId="0" fontId="10" fillId="0" borderId="12" xfId="1" applyFont="1" applyBorder="1" applyAlignment="1">
      <alignment horizontal="left" vertical="center" indent="4"/>
    </xf>
    <xf numFmtId="165" fontId="10" fillId="0" borderId="8" xfId="3" applyNumberFormat="1" applyFont="1" applyBorder="1" applyAlignment="1">
      <alignment horizontal="center" vertical="center"/>
    </xf>
    <xf numFmtId="4" fontId="10" fillId="0" borderId="8" xfId="3" applyNumberFormat="1" applyFont="1" applyBorder="1" applyAlignment="1" applyProtection="1">
      <alignment horizontal="center" vertical="center"/>
      <protection locked="0"/>
    </xf>
    <xf numFmtId="0" fontId="10" fillId="0" borderId="13" xfId="1" applyFont="1" applyBorder="1" applyAlignment="1">
      <alignment horizontal="left" vertical="center" indent="4"/>
    </xf>
    <xf numFmtId="3" fontId="10" fillId="0" borderId="14" xfId="3" applyNumberFormat="1" applyFont="1" applyBorder="1" applyAlignment="1" applyProtection="1">
      <alignment horizontal="center" vertical="center"/>
      <protection locked="0"/>
    </xf>
    <xf numFmtId="165" fontId="10" fillId="0" borderId="14" xfId="3" applyNumberFormat="1" applyFont="1" applyBorder="1" applyAlignment="1">
      <alignment horizontal="center" vertical="center"/>
    </xf>
    <xf numFmtId="4" fontId="10" fillId="0" borderId="14" xfId="3" applyNumberFormat="1" applyFont="1" applyBorder="1" applyAlignment="1" applyProtection="1">
      <alignment horizontal="center" vertical="center"/>
      <protection locked="0"/>
    </xf>
    <xf numFmtId="3" fontId="10" fillId="0" borderId="14" xfId="3" applyNumberFormat="1" applyFont="1" applyBorder="1" applyAlignment="1">
      <alignment horizontal="center" vertical="center"/>
    </xf>
    <xf numFmtId="3" fontId="10" fillId="0" borderId="15" xfId="3" applyNumberFormat="1" applyFont="1" applyBorder="1" applyAlignment="1" applyProtection="1">
      <alignment horizontal="center" vertical="center"/>
      <protection locked="0"/>
    </xf>
    <xf numFmtId="0" fontId="13" fillId="0" borderId="16" xfId="4" applyFont="1" applyBorder="1" applyAlignment="1">
      <alignment horizontal="left" vertical="center"/>
    </xf>
    <xf numFmtId="3" fontId="10" fillId="0" borderId="1" xfId="3" applyNumberFormat="1" applyFont="1" applyBorder="1" applyAlignment="1" applyProtection="1">
      <alignment horizontal="center" vertical="center"/>
      <protection locked="0"/>
    </xf>
    <xf numFmtId="3" fontId="10" fillId="0" borderId="1" xfId="3" applyNumberFormat="1" applyFont="1" applyBorder="1" applyAlignment="1">
      <alignment horizontal="center" vertical="center"/>
    </xf>
    <xf numFmtId="165" fontId="10" fillId="0" borderId="1" xfId="3" applyNumberFormat="1" applyFont="1" applyBorder="1" applyAlignment="1">
      <alignment horizontal="center" vertical="center"/>
    </xf>
    <xf numFmtId="2" fontId="10" fillId="0" borderId="1" xfId="3" applyNumberFormat="1" applyFont="1" applyBorder="1" applyAlignment="1" applyProtection="1">
      <alignment horizontal="center" vertical="center"/>
      <protection locked="0"/>
    </xf>
    <xf numFmtId="3" fontId="10" fillId="0" borderId="17" xfId="3" applyNumberFormat="1" applyFont="1" applyBorder="1" applyAlignment="1" applyProtection="1">
      <alignment horizontal="center" vertical="center"/>
      <protection locked="0"/>
    </xf>
    <xf numFmtId="0" fontId="10" fillId="0" borderId="16" xfId="4" applyFont="1" applyBorder="1" applyAlignment="1">
      <alignment horizontal="left" vertical="center"/>
    </xf>
    <xf numFmtId="4" fontId="10" fillId="0" borderId="1" xfId="3" applyNumberFormat="1" applyFont="1" applyBorder="1" applyAlignment="1" applyProtection="1">
      <alignment horizontal="center" vertical="center"/>
      <protection locked="0"/>
    </xf>
    <xf numFmtId="0" fontId="3" fillId="0" borderId="18" xfId="3" applyFont="1" applyBorder="1" applyAlignment="1">
      <alignment horizontal="left" vertical="center" wrapText="1"/>
    </xf>
    <xf numFmtId="3" fontId="9" fillId="0" borderId="19" xfId="3" applyNumberFormat="1" applyFont="1" applyBorder="1" applyAlignment="1" applyProtection="1">
      <alignment horizontal="center" vertical="center"/>
      <protection locked="0"/>
    </xf>
    <xf numFmtId="168" fontId="14" fillId="0" borderId="19" xfId="3" applyNumberFormat="1" applyFont="1" applyBorder="1" applyAlignment="1" applyProtection="1">
      <alignment horizontal="center" vertical="center"/>
      <protection locked="0"/>
    </xf>
    <xf numFmtId="3" fontId="9" fillId="0" borderId="20" xfId="3" applyNumberFormat="1" applyFont="1" applyBorder="1" applyAlignment="1" applyProtection="1">
      <alignment horizontal="center" vertical="center"/>
      <protection locked="0"/>
    </xf>
    <xf numFmtId="168" fontId="10" fillId="0" borderId="8" xfId="3" applyNumberFormat="1" applyFont="1" applyBorder="1" applyAlignment="1" applyProtection="1">
      <alignment horizontal="center" vertical="center"/>
      <protection locked="0"/>
    </xf>
    <xf numFmtId="1" fontId="10" fillId="0" borderId="14" xfId="3" applyNumberFormat="1" applyFont="1" applyBorder="1" applyAlignment="1">
      <alignment horizontal="center" vertical="center"/>
    </xf>
    <xf numFmtId="0" fontId="10" fillId="0" borderId="14" xfId="3" applyFont="1" applyBorder="1" applyAlignment="1" applyProtection="1">
      <alignment horizontal="center" vertical="center"/>
      <protection locked="0"/>
    </xf>
    <xf numFmtId="0" fontId="3" fillId="0" borderId="21" xfId="3" applyFont="1" applyBorder="1" applyAlignment="1">
      <alignment horizontal="left" vertical="center"/>
    </xf>
    <xf numFmtId="3" fontId="9" fillId="0" borderId="22" xfId="3" applyNumberFormat="1" applyFont="1" applyBorder="1" applyAlignment="1" applyProtection="1">
      <alignment horizontal="center" vertical="center"/>
      <protection locked="0"/>
    </xf>
    <xf numFmtId="3" fontId="9" fillId="0" borderId="23" xfId="3" applyNumberFormat="1" applyFont="1" applyBorder="1" applyAlignment="1" applyProtection="1">
      <alignment horizontal="center" vertical="center"/>
      <protection locked="0"/>
    </xf>
    <xf numFmtId="2" fontId="14" fillId="0" borderId="23" xfId="3" applyNumberFormat="1" applyFont="1" applyBorder="1" applyAlignment="1" applyProtection="1">
      <alignment horizontal="center" vertical="center"/>
      <protection locked="0"/>
    </xf>
    <xf numFmtId="3" fontId="9" fillId="0" borderId="24" xfId="3" applyNumberFormat="1" applyFont="1" applyBorder="1" applyAlignment="1" applyProtection="1">
      <alignment horizontal="center" vertical="center"/>
      <protection locked="0"/>
    </xf>
    <xf numFmtId="2" fontId="14" fillId="0" borderId="7" xfId="3" applyNumberFormat="1" applyFont="1" applyBorder="1" applyAlignment="1" applyProtection="1">
      <alignment horizontal="center" vertical="center"/>
      <protection locked="0"/>
    </xf>
    <xf numFmtId="0" fontId="10" fillId="0" borderId="12" xfId="3" applyFont="1" applyBorder="1" applyAlignment="1">
      <alignment horizontal="left" vertical="center" indent="1"/>
    </xf>
    <xf numFmtId="3" fontId="10" fillId="0" borderId="8" xfId="3" applyNumberFormat="1" applyFont="1" applyBorder="1" applyAlignment="1" applyProtection="1">
      <alignment horizontal="center"/>
      <protection locked="0"/>
    </xf>
    <xf numFmtId="3" fontId="10" fillId="0" borderId="1" xfId="3" applyNumberFormat="1" applyFont="1" applyBorder="1" applyAlignment="1" applyProtection="1">
      <alignment horizontal="center"/>
      <protection locked="0"/>
    </xf>
    <xf numFmtId="0" fontId="3" fillId="0" borderId="25" xfId="1" applyFont="1" applyBorder="1" applyAlignment="1">
      <alignment horizontal="left" vertical="center" indent="1"/>
    </xf>
    <xf numFmtId="3" fontId="10" fillId="0" borderId="26" xfId="3" applyNumberFormat="1" applyFont="1" applyBorder="1" applyAlignment="1" applyProtection="1">
      <alignment horizontal="center" vertical="center"/>
      <protection locked="0"/>
    </xf>
    <xf numFmtId="3" fontId="3" fillId="0" borderId="26" xfId="3" applyNumberFormat="1" applyFont="1" applyBorder="1" applyAlignment="1" applyProtection="1">
      <alignment horizontal="center" vertical="center"/>
      <protection locked="0"/>
    </xf>
    <xf numFmtId="3" fontId="3" fillId="0" borderId="26" xfId="3" applyNumberFormat="1" applyFont="1" applyBorder="1" applyAlignment="1" applyProtection="1">
      <alignment horizontal="center"/>
      <protection locked="0"/>
    </xf>
    <xf numFmtId="3" fontId="10" fillId="0" borderId="26" xfId="3" applyNumberFormat="1" applyFont="1" applyBorder="1" applyAlignment="1">
      <alignment horizontal="center" vertical="center"/>
    </xf>
    <xf numFmtId="0" fontId="10" fillId="0" borderId="26" xfId="3" applyFont="1" applyBorder="1" applyAlignment="1" applyProtection="1">
      <alignment horizontal="center" vertical="center"/>
      <protection locked="0"/>
    </xf>
    <xf numFmtId="3" fontId="10" fillId="0" borderId="27" xfId="3" applyNumberFormat="1" applyFont="1" applyBorder="1" applyAlignment="1" applyProtection="1">
      <alignment horizontal="center"/>
      <protection locked="0"/>
    </xf>
    <xf numFmtId="3" fontId="10" fillId="0" borderId="26" xfId="3" applyNumberFormat="1" applyFont="1" applyBorder="1" applyAlignment="1" applyProtection="1">
      <alignment horizontal="center"/>
      <protection locked="0"/>
    </xf>
    <xf numFmtId="3" fontId="10" fillId="0" borderId="28" xfId="3" applyNumberFormat="1" applyFont="1" applyBorder="1" applyAlignment="1" applyProtection="1">
      <alignment horizontal="center" vertical="center"/>
      <protection locked="0"/>
    </xf>
    <xf numFmtId="0" fontId="4" fillId="0" borderId="21" xfId="2" applyBorder="1"/>
    <xf numFmtId="3" fontId="10" fillId="0" borderId="23" xfId="3" applyNumberFormat="1" applyFont="1" applyBorder="1" applyAlignment="1" applyProtection="1">
      <alignment horizontal="center" vertical="center"/>
      <protection locked="0"/>
    </xf>
    <xf numFmtId="3" fontId="3" fillId="0" borderId="23" xfId="3" applyNumberFormat="1" applyFont="1" applyBorder="1" applyAlignment="1" applyProtection="1">
      <alignment horizontal="center" vertical="center"/>
      <protection locked="0"/>
    </xf>
    <xf numFmtId="3" fontId="3" fillId="0" borderId="23" xfId="3" applyNumberFormat="1" applyFont="1" applyBorder="1" applyAlignment="1" applyProtection="1">
      <alignment horizontal="center"/>
      <protection locked="0"/>
    </xf>
    <xf numFmtId="3" fontId="10" fillId="0" borderId="23" xfId="3" applyNumberFormat="1" applyFont="1" applyBorder="1" applyAlignment="1">
      <alignment horizontal="center" vertical="center"/>
    </xf>
    <xf numFmtId="0" fontId="10" fillId="0" borderId="23" xfId="3" applyFont="1" applyBorder="1" applyAlignment="1" applyProtection="1">
      <alignment horizontal="center" vertical="center"/>
      <protection locked="0"/>
    </xf>
    <xf numFmtId="3" fontId="10" fillId="0" borderId="23" xfId="3" applyNumberFormat="1" applyFont="1" applyBorder="1" applyAlignment="1" applyProtection="1">
      <alignment horizontal="center"/>
      <protection locked="0"/>
    </xf>
    <xf numFmtId="3" fontId="10" fillId="0" borderId="24" xfId="3" applyNumberFormat="1" applyFont="1" applyBorder="1" applyAlignment="1" applyProtection="1">
      <alignment horizontal="center" vertical="center"/>
      <protection locked="0"/>
    </xf>
    <xf numFmtId="1" fontId="4" fillId="0" borderId="0" xfId="2" applyNumberFormat="1"/>
    <xf numFmtId="0" fontId="6" fillId="0" borderId="30" xfId="3" applyFont="1" applyBorder="1" applyAlignment="1">
      <alignment horizontal="center" vertical="center" wrapText="1"/>
    </xf>
    <xf numFmtId="0" fontId="6" fillId="0" borderId="31" xfId="3" applyFont="1" applyBorder="1" applyAlignment="1">
      <alignment horizontal="center" vertical="center" wrapText="1"/>
    </xf>
    <xf numFmtId="0" fontId="6" fillId="0" borderId="32" xfId="3" applyFont="1" applyBorder="1" applyAlignment="1">
      <alignment horizontal="center" vertical="center" wrapText="1"/>
    </xf>
    <xf numFmtId="0" fontId="6" fillId="0" borderId="33" xfId="3" applyFont="1" applyBorder="1" applyAlignment="1">
      <alignment horizontal="center" vertical="center" wrapText="1"/>
    </xf>
    <xf numFmtId="0" fontId="6" fillId="0" borderId="34" xfId="3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 wrapText="1"/>
    </xf>
    <xf numFmtId="0" fontId="6" fillId="0" borderId="36" xfId="3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3" fontId="10" fillId="2" borderId="1" xfId="3" applyNumberFormat="1" applyFont="1" applyFill="1" applyBorder="1" applyAlignment="1" applyProtection="1">
      <alignment horizontal="center" vertical="center"/>
      <protection locked="0"/>
    </xf>
    <xf numFmtId="3" fontId="12" fillId="3" borderId="8" xfId="3" applyNumberFormat="1" applyFont="1" applyFill="1" applyBorder="1" applyAlignment="1" applyProtection="1">
      <alignment horizontal="center" vertical="center"/>
      <protection locked="0"/>
    </xf>
    <xf numFmtId="3" fontId="10" fillId="3" borderId="8" xfId="3" applyNumberFormat="1" applyFont="1" applyFill="1" applyBorder="1" applyAlignment="1" applyProtection="1">
      <alignment horizontal="center" vertical="center"/>
      <protection locked="0"/>
    </xf>
    <xf numFmtId="0" fontId="1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indent="1"/>
    </xf>
    <xf numFmtId="3" fontId="0" fillId="2" borderId="1" xfId="0" applyNumberFormat="1" applyFill="1" applyBorder="1" applyAlignment="1">
      <alignment vertical="center"/>
    </xf>
  </cellXfs>
  <cellStyles count="5">
    <cellStyle name="Обычный" xfId="0" builtinId="0"/>
    <cellStyle name="Обычный 2" xfId="1" xr:uid="{6A42F270-6191-4D44-B99B-1FCECED37D65}"/>
    <cellStyle name="Обычный 2_Д-02 ИЭ - 2010 план 28.09.2010" xfId="4" xr:uid="{1B7C6889-50B0-4B6A-86B7-0AE4CFCB105E}"/>
    <cellStyle name="Обычный 3" xfId="2" xr:uid="{46F3BA82-C119-4DCE-8C2E-9CC94B3EFCDE}"/>
    <cellStyle name="Обычный_Д-02 2011 бюджет план 27072011" xfId="3" xr:uid="{EFCE94D6-37F0-49BE-8819-8994C83F0B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activeCell="D19" sqref="D19"/>
    </sheetView>
  </sheetViews>
  <sheetFormatPr defaultRowHeight="15" x14ac:dyDescent="0.25"/>
  <cols>
    <col min="2" max="2" width="44.7109375" bestFit="1" customWidth="1"/>
    <col min="3" max="3" width="15.28515625" customWidth="1"/>
    <col min="4" max="4" width="15.42578125" customWidth="1"/>
  </cols>
  <sheetData>
    <row r="1" spans="1:4" x14ac:dyDescent="0.25">
      <c r="A1" t="s">
        <v>0</v>
      </c>
    </row>
    <row r="2" spans="1:4" x14ac:dyDescent="0.25">
      <c r="A2" t="s">
        <v>92</v>
      </c>
    </row>
    <row r="4" spans="1:4" ht="30" x14ac:dyDescent="0.25">
      <c r="A4" s="110" t="s">
        <v>1</v>
      </c>
      <c r="B4" s="111"/>
      <c r="C4" s="112" t="s">
        <v>90</v>
      </c>
      <c r="D4" s="112" t="s">
        <v>91</v>
      </c>
    </row>
    <row r="5" spans="1:4" ht="22.5" customHeight="1" x14ac:dyDescent="0.25">
      <c r="A5" s="113" t="s">
        <v>2</v>
      </c>
      <c r="B5" s="113" t="s">
        <v>3</v>
      </c>
      <c r="C5" s="114">
        <f>C6+C9</f>
        <v>44966047.317290001</v>
      </c>
      <c r="D5" s="114">
        <v>39580604.988492064</v>
      </c>
    </row>
    <row r="6" spans="1:4" ht="22.5" customHeight="1" x14ac:dyDescent="0.25">
      <c r="A6" s="1" t="s">
        <v>4</v>
      </c>
      <c r="B6" s="2" t="s">
        <v>5</v>
      </c>
      <c r="C6" s="6">
        <f>C7+C8</f>
        <v>44539819.355209999</v>
      </c>
      <c r="D6" s="6">
        <f>D7+D8</f>
        <v>39093672.197399594</v>
      </c>
    </row>
    <row r="7" spans="1:4" ht="22.5" customHeight="1" x14ac:dyDescent="0.25">
      <c r="A7" s="1" t="s">
        <v>6</v>
      </c>
      <c r="B7" s="3" t="s">
        <v>7</v>
      </c>
      <c r="C7" s="4">
        <v>3545259.0176400002</v>
      </c>
      <c r="D7" s="4">
        <f>('ДО2 факт 2025г'!W9+'ДО2 факт 2025г'!W12+'ДО2 факт 2025г'!W15+'ДО2 факт 2025г'!W18+'ДО2 факт 2025г'!W25+'ДО2 факт 2025г'!W30+'ДО2 факт 2025г'!W34+'ДО2 факт 2025г'!W40)</f>
        <v>4133783.4626416666</v>
      </c>
    </row>
    <row r="8" spans="1:4" ht="22.5" customHeight="1" x14ac:dyDescent="0.25">
      <c r="A8" s="1" t="s">
        <v>8</v>
      </c>
      <c r="B8" s="3" t="s">
        <v>9</v>
      </c>
      <c r="C8" s="5">
        <f>44966047.31729-C7-C9</f>
        <v>40994560.337569997</v>
      </c>
      <c r="D8" s="5">
        <f>D5-D9-D7</f>
        <v>34959888.73475793</v>
      </c>
    </row>
    <row r="9" spans="1:4" ht="22.5" customHeight="1" x14ac:dyDescent="0.25">
      <c r="A9" s="1" t="s">
        <v>10</v>
      </c>
      <c r="B9" s="2" t="s">
        <v>11</v>
      </c>
      <c r="C9" s="6">
        <v>426227.96208000003</v>
      </c>
      <c r="D9" s="6">
        <f>('ДО2 факт 2025г'!W46+'ДО2 факт 2025г'!W47+'ДО2 факт 2025г'!W48+'ДО2 факт 2025г'!W49)</f>
        <v>486932.79109246668</v>
      </c>
    </row>
    <row r="10" spans="1:4" ht="22.5" customHeight="1" x14ac:dyDescent="0.25">
      <c r="A10" s="113" t="s">
        <v>12</v>
      </c>
      <c r="B10" s="113" t="s">
        <v>13</v>
      </c>
      <c r="C10" s="114">
        <v>15465356.51963</v>
      </c>
      <c r="D10" s="114">
        <v>16265798.221369999</v>
      </c>
    </row>
    <row r="11" spans="1:4" ht="22.5" customHeight="1" x14ac:dyDescent="0.25">
      <c r="A11" s="113" t="s">
        <v>14</v>
      </c>
      <c r="B11" s="113" t="s">
        <v>15</v>
      </c>
      <c r="C11" s="114">
        <f>C12+C13</f>
        <v>3915834.0149999997</v>
      </c>
      <c r="D11" s="114">
        <f>D12+D13</f>
        <v>4121930.3323566676</v>
      </c>
    </row>
    <row r="12" spans="1:4" ht="22.5" customHeight="1" x14ac:dyDescent="0.25">
      <c r="A12" s="1" t="s">
        <v>16</v>
      </c>
      <c r="B12" s="1" t="s">
        <v>17</v>
      </c>
      <c r="C12" s="4">
        <v>3759377.1787399999</v>
      </c>
      <c r="D12" s="4">
        <v>3968118.3432600009</v>
      </c>
    </row>
    <row r="13" spans="1:4" ht="22.5" customHeight="1" x14ac:dyDescent="0.25">
      <c r="A13" s="1" t="s">
        <v>18</v>
      </c>
      <c r="B13" s="1" t="s">
        <v>19</v>
      </c>
      <c r="C13" s="6">
        <v>156456.83626000001</v>
      </c>
      <c r="D13" s="6">
        <v>153811.98909666669</v>
      </c>
    </row>
  </sheetData>
  <mergeCells count="1">
    <mergeCell ref="A4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0BB6E-A126-41ED-BB77-2CB7B1215674}">
  <dimension ref="A1:Y84"/>
  <sheetViews>
    <sheetView topLeftCell="A16" zoomScaleNormal="100" workbookViewId="0">
      <selection activeCell="W40" activeCellId="7" sqref="W9 W12 W15 W18 W25 W30 W34 W40"/>
    </sheetView>
  </sheetViews>
  <sheetFormatPr defaultRowHeight="12.75" x14ac:dyDescent="0.2"/>
  <cols>
    <col min="1" max="1" width="40.140625" style="8" customWidth="1"/>
    <col min="2" max="2" width="21.42578125" style="8" customWidth="1"/>
    <col min="3" max="5" width="15.7109375" style="8" hidden="1" customWidth="1"/>
    <col min="6" max="6" width="15.7109375" style="8" customWidth="1"/>
    <col min="7" max="18" width="15.7109375" style="8" hidden="1" customWidth="1"/>
    <col min="19" max="19" width="0" style="8" hidden="1" customWidth="1"/>
    <col min="20" max="20" width="11" style="8" hidden="1" customWidth="1"/>
    <col min="21" max="21" width="11.7109375" style="8" hidden="1" customWidth="1"/>
    <col min="22" max="22" width="14.140625" style="8" hidden="1" customWidth="1"/>
    <col min="23" max="23" width="15.7109375" style="8" customWidth="1"/>
    <col min="24" max="24" width="11.5703125" style="8" customWidth="1"/>
    <col min="25" max="16384" width="9.140625" style="8"/>
  </cols>
  <sheetData>
    <row r="1" spans="1:25" ht="13.5" x14ac:dyDescent="0.2">
      <c r="A1" s="7" t="e">
        <f>CONCATENATE("Бюджет доходов и расходов от операций на оптовом рынке на ",#REF!," ",C2," год")</f>
        <v>#REF!</v>
      </c>
      <c r="G1" s="9"/>
      <c r="H1" s="10"/>
    </row>
    <row r="2" spans="1:25" ht="15.75" customHeight="1" thickBot="1" x14ac:dyDescent="0.25">
      <c r="A2" s="7"/>
      <c r="B2" s="105" t="s">
        <v>88</v>
      </c>
      <c r="C2" s="106" t="s">
        <v>87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</row>
    <row r="3" spans="1:25" ht="45.75" thickBot="1" x14ac:dyDescent="0.25">
      <c r="A3" s="12" t="s">
        <v>20</v>
      </c>
      <c r="B3" s="98" t="s">
        <v>89</v>
      </c>
      <c r="C3" s="98" t="s">
        <v>21</v>
      </c>
      <c r="D3" s="99" t="s">
        <v>22</v>
      </c>
      <c r="E3" s="98" t="s">
        <v>23</v>
      </c>
      <c r="F3" s="97" t="s">
        <v>24</v>
      </c>
      <c r="G3" s="100" t="s">
        <v>25</v>
      </c>
      <c r="H3" s="99" t="s">
        <v>26</v>
      </c>
      <c r="I3" s="101" t="s">
        <v>27</v>
      </c>
      <c r="J3" s="102" t="s">
        <v>28</v>
      </c>
      <c r="K3" s="103" t="s">
        <v>29</v>
      </c>
      <c r="L3" s="103" t="s">
        <v>30</v>
      </c>
      <c r="M3" s="103" t="s">
        <v>31</v>
      </c>
      <c r="N3" s="103" t="s">
        <v>32</v>
      </c>
      <c r="O3" s="100" t="s">
        <v>33</v>
      </c>
      <c r="P3" s="99" t="s">
        <v>34</v>
      </c>
      <c r="Q3" s="99" t="s">
        <v>35</v>
      </c>
      <c r="R3" s="104" t="s">
        <v>36</v>
      </c>
      <c r="W3" s="97" t="s">
        <v>86</v>
      </c>
      <c r="X3" s="10">
        <f>B9+B15+B18+B25+B30+B34+B40+B12</f>
        <v>3545259.0176416668</v>
      </c>
      <c r="Y3" s="10">
        <f>Лист1!C7</f>
        <v>3545259.0176400002</v>
      </c>
    </row>
    <row r="4" spans="1:25" ht="14.25" thickTop="1" thickBot="1" x14ac:dyDescent="0.25">
      <c r="A4" s="13">
        <v>1</v>
      </c>
      <c r="B4" s="14"/>
      <c r="C4" s="14">
        <f>A4+1</f>
        <v>2</v>
      </c>
      <c r="D4" s="14">
        <f t="shared" ref="D4:R4" si="0">C4+1</f>
        <v>3</v>
      </c>
      <c r="E4" s="14">
        <f t="shared" si="0"/>
        <v>4</v>
      </c>
      <c r="F4" s="14">
        <f t="shared" si="0"/>
        <v>5</v>
      </c>
      <c r="G4" s="14">
        <f t="shared" si="0"/>
        <v>6</v>
      </c>
      <c r="H4" s="14">
        <f t="shared" si="0"/>
        <v>7</v>
      </c>
      <c r="I4" s="14">
        <f t="shared" si="0"/>
        <v>8</v>
      </c>
      <c r="J4" s="14">
        <f t="shared" si="0"/>
        <v>9</v>
      </c>
      <c r="K4" s="14">
        <f t="shared" si="0"/>
        <v>10</v>
      </c>
      <c r="L4" s="14">
        <f t="shared" si="0"/>
        <v>11</v>
      </c>
      <c r="M4" s="14">
        <f t="shared" si="0"/>
        <v>12</v>
      </c>
      <c r="N4" s="14">
        <f t="shared" si="0"/>
        <v>13</v>
      </c>
      <c r="O4" s="14">
        <f t="shared" si="0"/>
        <v>14</v>
      </c>
      <c r="P4" s="14">
        <f t="shared" si="0"/>
        <v>15</v>
      </c>
      <c r="Q4" s="14">
        <f t="shared" si="0"/>
        <v>16</v>
      </c>
      <c r="R4" s="15">
        <f t="shared" si="0"/>
        <v>17</v>
      </c>
      <c r="W4" s="14"/>
    </row>
    <row r="5" spans="1:25" ht="13.5" x14ac:dyDescent="0.2">
      <c r="A5" s="16" t="s">
        <v>37</v>
      </c>
      <c r="B5" s="17">
        <v>44968226.989266336</v>
      </c>
      <c r="C5" s="17">
        <f>C6+C46+C47+C48+C49</f>
        <v>286.18935999999769</v>
      </c>
      <c r="D5" s="17">
        <f>D6+D46+D47+D48+D49</f>
        <v>3345162.8251295988</v>
      </c>
      <c r="E5" s="17">
        <f>E6+E46+E47+E48+E49</f>
        <v>3344876.6357695987</v>
      </c>
      <c r="F5" s="17">
        <f>F6+F46+F47+F48+F49</f>
        <v>47463368.871370956</v>
      </c>
      <c r="G5" s="17">
        <f>G6+G46+G47</f>
        <v>22338.129562000002</v>
      </c>
      <c r="H5" s="18">
        <f>IF(G5=0," ",F5/G5/1.2)</f>
        <v>1770.6409698730322</v>
      </c>
      <c r="I5" s="17">
        <f t="shared" ref="I5:R5" si="1">I6+I46+I47+I48+I49</f>
        <v>47046248.440619998</v>
      </c>
      <c r="J5" s="17">
        <f t="shared" si="1"/>
        <v>47046248.440619998</v>
      </c>
      <c r="K5" s="17">
        <f t="shared" si="1"/>
        <v>0</v>
      </c>
      <c r="L5" s="17">
        <f t="shared" si="1"/>
        <v>0</v>
      </c>
      <c r="M5" s="17">
        <f t="shared" si="1"/>
        <v>0</v>
      </c>
      <c r="N5" s="17">
        <f t="shared" si="1"/>
        <v>0</v>
      </c>
      <c r="O5" s="17">
        <f t="shared" si="1"/>
        <v>0</v>
      </c>
      <c r="P5" s="17">
        <f t="shared" si="1"/>
        <v>3761997.0665205559</v>
      </c>
      <c r="Q5" s="17">
        <f t="shared" si="1"/>
        <v>3761997.0665205559</v>
      </c>
      <c r="R5" s="19">
        <f t="shared" si="1"/>
        <v>417120.43075095647</v>
      </c>
      <c r="T5" s="20">
        <v>0</v>
      </c>
      <c r="U5" s="20">
        <v>0</v>
      </c>
      <c r="V5" s="20">
        <v>0</v>
      </c>
      <c r="W5" s="17">
        <f>F5/1.2</f>
        <v>39552807.39280913</v>
      </c>
    </row>
    <row r="6" spans="1:25" ht="13.5" x14ac:dyDescent="0.2">
      <c r="A6" s="21" t="s">
        <v>38</v>
      </c>
      <c r="B6" s="22">
        <v>44541999.027183339</v>
      </c>
      <c r="C6" s="22">
        <f>C7+C23</f>
        <v>286.18935999999769</v>
      </c>
      <c r="D6" s="22">
        <f t="shared" ref="D6:F6" si="2">D7+D23</f>
        <v>3249368.721619999</v>
      </c>
      <c r="E6" s="22">
        <f t="shared" si="2"/>
        <v>3249082.5322599988</v>
      </c>
      <c r="F6" s="22">
        <f t="shared" si="2"/>
        <v>46879049.522059999</v>
      </c>
      <c r="G6" s="22">
        <f>G7</f>
        <v>22182.098827000002</v>
      </c>
      <c r="H6" s="18">
        <f>IF(G6=0," ",F6/G6/1.2)</f>
        <v>1761.1441958849166</v>
      </c>
      <c r="I6" s="22">
        <f t="shared" ref="I6:R6" si="3">I7+I23</f>
        <v>46751675.128660001</v>
      </c>
      <c r="J6" s="22">
        <f t="shared" si="3"/>
        <v>46751675.128660001</v>
      </c>
      <c r="K6" s="22">
        <f t="shared" si="3"/>
        <v>0</v>
      </c>
      <c r="L6" s="22">
        <f t="shared" si="3"/>
        <v>0</v>
      </c>
      <c r="M6" s="22">
        <f t="shared" si="3"/>
        <v>0</v>
      </c>
      <c r="N6" s="22">
        <f t="shared" si="3"/>
        <v>0</v>
      </c>
      <c r="O6" s="22">
        <f t="shared" si="3"/>
        <v>0</v>
      </c>
      <c r="P6" s="22">
        <f t="shared" si="3"/>
        <v>3376456.9256599955</v>
      </c>
      <c r="Q6" s="22">
        <f t="shared" si="3"/>
        <v>3376456.9256599955</v>
      </c>
      <c r="R6" s="23">
        <f t="shared" si="3"/>
        <v>127374.39339999651</v>
      </c>
      <c r="T6" s="20">
        <v>0</v>
      </c>
      <c r="U6" s="20">
        <v>0</v>
      </c>
      <c r="V6" s="20">
        <v>0</v>
      </c>
      <c r="W6" s="22">
        <f t="shared" ref="W6:W61" si="4">F6/1.2</f>
        <v>39065874.601716667</v>
      </c>
    </row>
    <row r="7" spans="1:25" ht="13.5" x14ac:dyDescent="0.2">
      <c r="A7" s="21" t="s">
        <v>39</v>
      </c>
      <c r="B7" s="22">
        <v>27547889.67863334</v>
      </c>
      <c r="C7" s="22">
        <f>C8+C11+C14+C17</f>
        <v>0</v>
      </c>
      <c r="D7" s="22">
        <f t="shared" ref="D7:G7" si="5">D8+D11+D14+D17</f>
        <v>1827670.4243499991</v>
      </c>
      <c r="E7" s="22">
        <f t="shared" si="5"/>
        <v>1827670.4243499991</v>
      </c>
      <c r="F7" s="22">
        <f t="shared" si="5"/>
        <v>31503591.686579999</v>
      </c>
      <c r="G7" s="22">
        <f t="shared" si="5"/>
        <v>22182.098827000002</v>
      </c>
      <c r="H7" s="18">
        <f>IF(G7=0," ",F7/G7/1.2)</f>
        <v>1183.5215989658705</v>
      </c>
      <c r="I7" s="22">
        <f t="shared" ref="I7:R7" si="6">I8+I11+I14+I17</f>
        <v>31671796.993420001</v>
      </c>
      <c r="J7" s="22">
        <f t="shared" si="6"/>
        <v>31671796.993420001</v>
      </c>
      <c r="K7" s="22">
        <f t="shared" si="6"/>
        <v>0</v>
      </c>
      <c r="L7" s="22">
        <f t="shared" si="6"/>
        <v>0</v>
      </c>
      <c r="M7" s="22">
        <f t="shared" si="6"/>
        <v>0</v>
      </c>
      <c r="N7" s="22">
        <f t="shared" si="6"/>
        <v>0</v>
      </c>
      <c r="O7" s="22">
        <f t="shared" si="6"/>
        <v>0</v>
      </c>
      <c r="P7" s="22">
        <f t="shared" si="6"/>
        <v>1659465.1175099933</v>
      </c>
      <c r="Q7" s="22">
        <f t="shared" si="6"/>
        <v>1659465.1175099933</v>
      </c>
      <c r="R7" s="22">
        <f t="shared" si="6"/>
        <v>-168205.30684000591</v>
      </c>
      <c r="T7" s="20">
        <v>0</v>
      </c>
      <c r="U7" s="20">
        <v>-5.5879354476928711E-9</v>
      </c>
      <c r="V7" s="20">
        <v>-5.5879354476928711E-9</v>
      </c>
      <c r="W7" s="22">
        <f t="shared" si="4"/>
        <v>26252993.072149999</v>
      </c>
    </row>
    <row r="8" spans="1:25" ht="13.5" x14ac:dyDescent="0.2">
      <c r="A8" s="24" t="s">
        <v>40</v>
      </c>
      <c r="B8" s="25">
        <v>726514.4975083333</v>
      </c>
      <c r="C8" s="25">
        <f t="shared" ref="C8:R8" si="7">SUM(C9:C10)</f>
        <v>0</v>
      </c>
      <c r="D8" s="25">
        <f t="shared" si="7"/>
        <v>183287.18493000002</v>
      </c>
      <c r="E8" s="25">
        <f t="shared" si="7"/>
        <v>183287.18493000002</v>
      </c>
      <c r="F8" s="25">
        <f t="shared" si="7"/>
        <v>1279896.8814900001</v>
      </c>
      <c r="G8" s="25">
        <f t="shared" si="7"/>
        <v>1148.867753</v>
      </c>
      <c r="H8" s="26">
        <f t="shared" si="7"/>
        <v>928.37555218159218</v>
      </c>
      <c r="I8" s="25">
        <f t="shared" si="7"/>
        <v>1242075.75296</v>
      </c>
      <c r="J8" s="25">
        <f t="shared" si="7"/>
        <v>1242075.75296</v>
      </c>
      <c r="K8" s="25">
        <f t="shared" si="7"/>
        <v>0</v>
      </c>
      <c r="L8" s="25">
        <f t="shared" si="7"/>
        <v>0</v>
      </c>
      <c r="M8" s="25">
        <f t="shared" si="7"/>
        <v>0</v>
      </c>
      <c r="N8" s="25">
        <f t="shared" si="7"/>
        <v>0</v>
      </c>
      <c r="O8" s="25">
        <f t="shared" si="7"/>
        <v>0</v>
      </c>
      <c r="P8" s="25">
        <f t="shared" si="7"/>
        <v>221108.31346000009</v>
      </c>
      <c r="Q8" s="25">
        <f t="shared" si="7"/>
        <v>221108.31346000009</v>
      </c>
      <c r="R8" s="27">
        <f t="shared" si="7"/>
        <v>37821.128530000075</v>
      </c>
      <c r="T8" s="20">
        <v>0</v>
      </c>
      <c r="U8" s="20">
        <v>0</v>
      </c>
      <c r="V8" s="20">
        <v>0</v>
      </c>
      <c r="W8" s="25">
        <f t="shared" si="4"/>
        <v>1066580.7345750001</v>
      </c>
    </row>
    <row r="9" spans="1:25" ht="13.5" x14ac:dyDescent="0.2">
      <c r="A9" s="28" t="s">
        <v>41</v>
      </c>
      <c r="B9" s="108">
        <v>726514.4975083333</v>
      </c>
      <c r="C9" s="29">
        <v>0</v>
      </c>
      <c r="D9" s="29">
        <v>183287.18493000002</v>
      </c>
      <c r="E9" s="29">
        <f>D9-C9</f>
        <v>183287.18493000002</v>
      </c>
      <c r="F9" s="29">
        <v>1279896.8814900001</v>
      </c>
      <c r="G9" s="29">
        <v>1148.867753</v>
      </c>
      <c r="H9" s="30">
        <f>IF(G9=0,0,F9/G9/1.2)</f>
        <v>928.37555218159218</v>
      </c>
      <c r="I9" s="31">
        <f>SUM(J9:L9)</f>
        <v>1242075.75296</v>
      </c>
      <c r="J9" s="29">
        <v>1242075.75296</v>
      </c>
      <c r="K9" s="29"/>
      <c r="L9" s="29"/>
      <c r="M9" s="29"/>
      <c r="N9" s="29"/>
      <c r="O9" s="29">
        <f>IF(Q9&lt;0,-Q9,0)</f>
        <v>0</v>
      </c>
      <c r="P9" s="29">
        <f>Q9+O9</f>
        <v>221108.31346000009</v>
      </c>
      <c r="Q9" s="29">
        <f>E9+F9-I9-M9-N9</f>
        <v>221108.31346000009</v>
      </c>
      <c r="R9" s="32">
        <f>Q9-E9</f>
        <v>37821.128530000075</v>
      </c>
      <c r="T9" s="20">
        <v>0</v>
      </c>
      <c r="U9" s="20">
        <v>0</v>
      </c>
      <c r="V9" s="20">
        <v>0</v>
      </c>
      <c r="W9" s="108">
        <f t="shared" si="4"/>
        <v>1066580.7345750001</v>
      </c>
    </row>
    <row r="10" spans="1:25" ht="13.5" x14ac:dyDescent="0.2">
      <c r="A10" s="28" t="s">
        <v>42</v>
      </c>
      <c r="B10" s="29">
        <v>0</v>
      </c>
      <c r="C10" s="29">
        <v>0</v>
      </c>
      <c r="D10" s="29">
        <v>0</v>
      </c>
      <c r="E10" s="29">
        <f>D10-C10</f>
        <v>0</v>
      </c>
      <c r="F10" s="29">
        <v>0</v>
      </c>
      <c r="G10" s="31">
        <v>0</v>
      </c>
      <c r="H10" s="30">
        <f>IF(G10=0,0,F10/G10/1.2)</f>
        <v>0</v>
      </c>
      <c r="I10" s="31">
        <f t="shared" ref="I10" si="8">SUM(J10:L10)</f>
        <v>0</v>
      </c>
      <c r="J10" s="29">
        <v>0</v>
      </c>
      <c r="K10" s="29"/>
      <c r="L10" s="29"/>
      <c r="M10" s="29"/>
      <c r="N10" s="29"/>
      <c r="O10" s="29">
        <f>IF(Q10&lt;0,-Q10,0)</f>
        <v>0</v>
      </c>
      <c r="P10" s="29">
        <f>Q10+O10</f>
        <v>0</v>
      </c>
      <c r="Q10" s="29">
        <f t="shared" ref="Q10" si="9">E10+F10-I10-M10-N10</f>
        <v>0</v>
      </c>
      <c r="R10" s="32">
        <f>Q10-E10</f>
        <v>0</v>
      </c>
      <c r="T10" s="20">
        <v>0</v>
      </c>
      <c r="U10" s="20">
        <v>0</v>
      </c>
      <c r="V10" s="20">
        <v>0</v>
      </c>
      <c r="W10" s="29">
        <f t="shared" si="4"/>
        <v>0</v>
      </c>
    </row>
    <row r="11" spans="1:25" ht="13.5" x14ac:dyDescent="0.2">
      <c r="A11" s="24" t="s">
        <v>43</v>
      </c>
      <c r="B11" s="25">
        <v>391192.90359166666</v>
      </c>
      <c r="C11" s="25">
        <f t="shared" ref="C11:R11" si="10">SUM(C12:C13)</f>
        <v>0</v>
      </c>
      <c r="D11" s="25">
        <f t="shared" si="10"/>
        <v>45406.698329999985</v>
      </c>
      <c r="E11" s="25">
        <f t="shared" si="10"/>
        <v>45406.698329999985</v>
      </c>
      <c r="F11" s="25">
        <f t="shared" si="10"/>
        <v>597597.39630999998</v>
      </c>
      <c r="G11" s="25">
        <f t="shared" si="10"/>
        <v>7308.9771930000006</v>
      </c>
      <c r="H11" s="26">
        <f t="shared" si="10"/>
        <v>2023.505955883805</v>
      </c>
      <c r="I11" s="25">
        <f t="shared" si="10"/>
        <v>587510.25431999995</v>
      </c>
      <c r="J11" s="25">
        <f t="shared" si="10"/>
        <v>587510.25431999995</v>
      </c>
      <c r="K11" s="25">
        <f t="shared" si="10"/>
        <v>0</v>
      </c>
      <c r="L11" s="25">
        <f t="shared" si="10"/>
        <v>0</v>
      </c>
      <c r="M11" s="25">
        <f t="shared" si="10"/>
        <v>0</v>
      </c>
      <c r="N11" s="25">
        <f t="shared" si="10"/>
        <v>0</v>
      </c>
      <c r="O11" s="25">
        <f t="shared" si="10"/>
        <v>0</v>
      </c>
      <c r="P11" s="25">
        <f t="shared" si="10"/>
        <v>55493.840319999887</v>
      </c>
      <c r="Q11" s="25">
        <f t="shared" si="10"/>
        <v>55493.840319999887</v>
      </c>
      <c r="R11" s="27">
        <f t="shared" si="10"/>
        <v>10087.1419899999</v>
      </c>
      <c r="T11" s="20">
        <v>0</v>
      </c>
      <c r="U11" s="20">
        <v>-5.8207660913467407E-11</v>
      </c>
      <c r="V11" s="20">
        <v>-5.8207660913467407E-11</v>
      </c>
      <c r="W11" s="25">
        <f t="shared" si="4"/>
        <v>497997.83025833336</v>
      </c>
    </row>
    <row r="12" spans="1:25" ht="13.5" x14ac:dyDescent="0.2">
      <c r="A12" s="33" t="s">
        <v>44</v>
      </c>
      <c r="B12" s="108">
        <v>388126.80589999998</v>
      </c>
      <c r="C12" s="29">
        <v>0</v>
      </c>
      <c r="D12" s="29">
        <v>45373.171209999986</v>
      </c>
      <c r="E12" s="29">
        <f>D12-C12</f>
        <v>45373.171209999986</v>
      </c>
      <c r="F12" s="29">
        <v>594048.86275999993</v>
      </c>
      <c r="G12" s="29">
        <v>7307.4651930000009</v>
      </c>
      <c r="H12" s="30">
        <f>IF(G12=0,0,F12/G12/1.2)</f>
        <v>67.744519596327081</v>
      </c>
      <c r="I12" s="31">
        <f>SUM(J12:L12)</f>
        <v>584079.29775999999</v>
      </c>
      <c r="J12" s="29">
        <v>584079.29775999999</v>
      </c>
      <c r="K12" s="29"/>
      <c r="L12" s="29"/>
      <c r="M12" s="29"/>
      <c r="N12" s="29"/>
      <c r="O12" s="29">
        <f>IF(Q12&lt;0,-Q12,0)</f>
        <v>0</v>
      </c>
      <c r="P12" s="29">
        <f>Q12+O12</f>
        <v>55342.736209999886</v>
      </c>
      <c r="Q12" s="29">
        <f>E12+F12-I12-M12-N12</f>
        <v>55342.736209999886</v>
      </c>
      <c r="R12" s="32">
        <f>Q12-E12</f>
        <v>9969.5649999999005</v>
      </c>
      <c r="T12" s="20">
        <v>0</v>
      </c>
      <c r="U12" s="20">
        <v>-5.8207660913467407E-11</v>
      </c>
      <c r="V12" s="20">
        <v>-5.8207660913467407E-11</v>
      </c>
      <c r="W12" s="108">
        <f t="shared" si="4"/>
        <v>495040.71896666661</v>
      </c>
    </row>
    <row r="13" spans="1:25" ht="13.5" x14ac:dyDescent="0.2">
      <c r="A13" s="33" t="s">
        <v>45</v>
      </c>
      <c r="B13" s="29">
        <v>3066.0976916666664</v>
      </c>
      <c r="C13" s="29">
        <v>0</v>
      </c>
      <c r="D13" s="29">
        <v>33.527120000000011</v>
      </c>
      <c r="E13" s="29">
        <f>D13-C13</f>
        <v>33.527120000000011</v>
      </c>
      <c r="F13" s="29">
        <v>3548.5335499999997</v>
      </c>
      <c r="G13" s="34">
        <v>1.512</v>
      </c>
      <c r="H13" s="30">
        <f>IF(G13=0,0,F13/G13/1.2)</f>
        <v>1955.7614362874779</v>
      </c>
      <c r="I13" s="31">
        <f t="shared" ref="I13" si="11">SUM(J13:L13)</f>
        <v>3430.9565600000001</v>
      </c>
      <c r="J13" s="29">
        <v>3430.9565600000001</v>
      </c>
      <c r="K13" s="29"/>
      <c r="L13" s="29"/>
      <c r="M13" s="29"/>
      <c r="N13" s="29"/>
      <c r="O13" s="29">
        <f>IF(Q13&lt;0,-Q13,0)</f>
        <v>0</v>
      </c>
      <c r="P13" s="29">
        <f>Q13+O13</f>
        <v>151.10410999999976</v>
      </c>
      <c r="Q13" s="29">
        <f t="shared" ref="Q13" si="12">E13+F13-I13-M13-N13</f>
        <v>151.10410999999976</v>
      </c>
      <c r="R13" s="32">
        <f>Q13-E13</f>
        <v>117.57698999999975</v>
      </c>
      <c r="T13" s="20">
        <v>0</v>
      </c>
      <c r="U13" s="20">
        <v>-2.2737367544323206E-13</v>
      </c>
      <c r="V13" s="20">
        <v>-2.2737367544323206E-13</v>
      </c>
      <c r="W13" s="29">
        <f t="shared" si="4"/>
        <v>2957.1112916666666</v>
      </c>
    </row>
    <row r="14" spans="1:25" ht="13.5" x14ac:dyDescent="0.2">
      <c r="A14" s="24" t="s">
        <v>46</v>
      </c>
      <c r="B14" s="25">
        <v>1760.8709499999998</v>
      </c>
      <c r="C14" s="25">
        <f t="shared" ref="C14:R14" si="13">SUM(C15:C16)</f>
        <v>0</v>
      </c>
      <c r="D14" s="25">
        <f t="shared" si="13"/>
        <v>0</v>
      </c>
      <c r="E14" s="25">
        <f t="shared" si="13"/>
        <v>0</v>
      </c>
      <c r="F14" s="25">
        <f t="shared" si="13"/>
        <v>1081.34466</v>
      </c>
      <c r="G14" s="25">
        <f t="shared" si="13"/>
        <v>13.630623999999999</v>
      </c>
      <c r="H14" s="26">
        <f t="shared" si="13"/>
        <v>66.109999806318484</v>
      </c>
      <c r="I14" s="25">
        <f t="shared" si="13"/>
        <v>1081.34466</v>
      </c>
      <c r="J14" s="25">
        <f t="shared" si="13"/>
        <v>1081.34466</v>
      </c>
      <c r="K14" s="25">
        <f t="shared" si="13"/>
        <v>0</v>
      </c>
      <c r="L14" s="25">
        <f t="shared" si="13"/>
        <v>0</v>
      </c>
      <c r="M14" s="25">
        <f t="shared" si="13"/>
        <v>0</v>
      </c>
      <c r="N14" s="25">
        <f t="shared" si="13"/>
        <v>0</v>
      </c>
      <c r="O14" s="25">
        <f t="shared" si="13"/>
        <v>0</v>
      </c>
      <c r="P14" s="25">
        <f t="shared" si="13"/>
        <v>0</v>
      </c>
      <c r="Q14" s="25">
        <f t="shared" si="13"/>
        <v>0</v>
      </c>
      <c r="R14" s="27">
        <f t="shared" si="13"/>
        <v>0</v>
      </c>
      <c r="T14" s="20">
        <v>0</v>
      </c>
      <c r="U14" s="20">
        <v>0</v>
      </c>
      <c r="V14" s="20">
        <v>0</v>
      </c>
      <c r="W14" s="25">
        <f t="shared" si="4"/>
        <v>901.12054999999998</v>
      </c>
    </row>
    <row r="15" spans="1:25" ht="13.5" x14ac:dyDescent="0.2">
      <c r="A15" s="35" t="s">
        <v>47</v>
      </c>
      <c r="B15" s="109">
        <v>1760.8709499999998</v>
      </c>
      <c r="C15" s="36">
        <v>0</v>
      </c>
      <c r="D15" s="36">
        <v>0</v>
      </c>
      <c r="E15" s="36">
        <f>D15-C15</f>
        <v>0</v>
      </c>
      <c r="F15" s="36">
        <v>1081.34466</v>
      </c>
      <c r="G15" s="37">
        <v>13.630623999999999</v>
      </c>
      <c r="H15" s="18">
        <f>IF(G15=0,0,F15/G15/1.2)</f>
        <v>66.109999806318484</v>
      </c>
      <c r="I15" s="37">
        <v>1081.34466</v>
      </c>
      <c r="J15" s="36">
        <v>1081.34466</v>
      </c>
      <c r="K15" s="36"/>
      <c r="L15" s="36"/>
      <c r="M15" s="36"/>
      <c r="N15" s="36"/>
      <c r="O15" s="36">
        <f>IF(Q15&lt;0,-Q15,0)</f>
        <v>0</v>
      </c>
      <c r="P15" s="36">
        <f>Q15+O15</f>
        <v>0</v>
      </c>
      <c r="Q15" s="36">
        <f>E15+F15-I15-M15-N15</f>
        <v>0</v>
      </c>
      <c r="R15" s="38">
        <f>Q15-E15</f>
        <v>0</v>
      </c>
      <c r="T15" s="20">
        <v>0</v>
      </c>
      <c r="U15" s="20">
        <v>0</v>
      </c>
      <c r="V15" s="20">
        <v>0</v>
      </c>
      <c r="W15" s="109">
        <f t="shared" si="4"/>
        <v>901.12054999999998</v>
      </c>
    </row>
    <row r="16" spans="1:25" ht="13.5" x14ac:dyDescent="0.2">
      <c r="A16" s="35" t="s">
        <v>48</v>
      </c>
      <c r="B16" s="36">
        <v>0</v>
      </c>
      <c r="C16" s="36">
        <v>0</v>
      </c>
      <c r="D16" s="36">
        <v>0</v>
      </c>
      <c r="E16" s="36">
        <f>D16-C16</f>
        <v>0</v>
      </c>
      <c r="F16" s="36">
        <v>0</v>
      </c>
      <c r="G16" s="37">
        <v>0</v>
      </c>
      <c r="H16" s="18">
        <f>IF(G16=0,0,F16/G16/1.2)</f>
        <v>0</v>
      </c>
      <c r="I16" s="37">
        <v>0</v>
      </c>
      <c r="J16" s="36">
        <v>0</v>
      </c>
      <c r="K16" s="36"/>
      <c r="L16" s="36"/>
      <c r="M16" s="36"/>
      <c r="N16" s="36"/>
      <c r="O16" s="36">
        <f>IF(Q16&lt;0,-Q16,0)</f>
        <v>0</v>
      </c>
      <c r="P16" s="36">
        <f>Q16+O16</f>
        <v>0</v>
      </c>
      <c r="Q16" s="36">
        <f t="shared" ref="Q16" si="14">E16+F16-I16-M16-N16</f>
        <v>0</v>
      </c>
      <c r="R16" s="38">
        <f>Q16-E16</f>
        <v>0</v>
      </c>
      <c r="T16" s="20">
        <v>0</v>
      </c>
      <c r="U16" s="20">
        <v>0</v>
      </c>
      <c r="V16" s="20">
        <v>0</v>
      </c>
      <c r="W16" s="36">
        <f t="shared" si="4"/>
        <v>0</v>
      </c>
    </row>
    <row r="17" spans="1:23" ht="13.5" x14ac:dyDescent="0.2">
      <c r="A17" s="24" t="s">
        <v>49</v>
      </c>
      <c r="B17" s="25">
        <v>26428421.406583335</v>
      </c>
      <c r="C17" s="25">
        <f t="shared" ref="C17:D17" si="15">SUM(C18:C22)</f>
        <v>0</v>
      </c>
      <c r="D17" s="25">
        <f t="shared" si="15"/>
        <v>1598976.541089999</v>
      </c>
      <c r="E17" s="25">
        <f>SUM(E18:E22)</f>
        <v>1598976.541089999</v>
      </c>
      <c r="F17" s="25">
        <f>SUM(F18:F22)</f>
        <v>29625016.064119998</v>
      </c>
      <c r="G17" s="25">
        <f>SUM(G18:G22)</f>
        <v>13710.623257000001</v>
      </c>
      <c r="H17" s="39">
        <f>IF(G17=0," ",F17/G17/1.2)</f>
        <v>1800.6120454197719</v>
      </c>
      <c r="I17" s="25">
        <f t="shared" ref="I17:R17" si="16">SUM(I18:I22)</f>
        <v>29841129.641480003</v>
      </c>
      <c r="J17" s="25">
        <f t="shared" si="16"/>
        <v>29841129.641480003</v>
      </c>
      <c r="K17" s="25">
        <f t="shared" si="16"/>
        <v>0</v>
      </c>
      <c r="L17" s="25">
        <f t="shared" si="16"/>
        <v>0</v>
      </c>
      <c r="M17" s="25">
        <f t="shared" si="16"/>
        <v>0</v>
      </c>
      <c r="N17" s="25">
        <f t="shared" si="16"/>
        <v>0</v>
      </c>
      <c r="O17" s="25">
        <f t="shared" si="16"/>
        <v>0</v>
      </c>
      <c r="P17" s="25">
        <f t="shared" si="16"/>
        <v>1382862.9637299932</v>
      </c>
      <c r="Q17" s="25">
        <f t="shared" si="16"/>
        <v>1382862.9637299932</v>
      </c>
      <c r="R17" s="27">
        <f t="shared" si="16"/>
        <v>-216113.57736000587</v>
      </c>
      <c r="T17" s="20">
        <v>0</v>
      </c>
      <c r="U17" s="20">
        <v>-5.5879354476928711E-9</v>
      </c>
      <c r="V17" s="20">
        <v>-5.5879354476928711E-9</v>
      </c>
      <c r="W17" s="25">
        <f t="shared" si="4"/>
        <v>24687513.386766665</v>
      </c>
    </row>
    <row r="18" spans="1:23" ht="13.5" x14ac:dyDescent="0.2">
      <c r="A18" s="35" t="s">
        <v>50</v>
      </c>
      <c r="B18" s="109">
        <v>717618.94654999999</v>
      </c>
      <c r="C18" s="36">
        <v>0</v>
      </c>
      <c r="D18" s="36">
        <v>118541.46378999997</v>
      </c>
      <c r="E18" s="36">
        <f t="shared" ref="E18:E22" si="17">D18-C18</f>
        <v>118541.46378999997</v>
      </c>
      <c r="F18" s="36">
        <v>856491.33131999988</v>
      </c>
      <c r="G18" s="37">
        <v>1428.7264280000002</v>
      </c>
      <c r="H18" s="18">
        <f>IF(G18=0,0,F18/G18/1.2)</f>
        <v>499.56574058697254</v>
      </c>
      <c r="I18" s="37">
        <f t="shared" ref="I18:I21" si="18">SUM(J18:L18)</f>
        <v>849567.63982000004</v>
      </c>
      <c r="J18" s="36">
        <v>849567.63982000004</v>
      </c>
      <c r="K18" s="36"/>
      <c r="L18" s="36"/>
      <c r="M18" s="36"/>
      <c r="N18" s="36"/>
      <c r="O18" s="36">
        <f t="shared" ref="O18:O22" si="19">IF(Q18&lt;0,-Q18,0)</f>
        <v>0</v>
      </c>
      <c r="P18" s="36">
        <f t="shared" ref="P18:P22" si="20">Q18+O18</f>
        <v>125465.15528999979</v>
      </c>
      <c r="Q18" s="36">
        <f t="shared" ref="Q18:Q22" si="21">E18+F18-I18-M18-N18</f>
        <v>125465.15528999979</v>
      </c>
      <c r="R18" s="38">
        <f t="shared" ref="R18:R22" si="22">Q18-E18</f>
        <v>6923.6914999998262</v>
      </c>
      <c r="T18" s="20">
        <v>0</v>
      </c>
      <c r="U18" s="20">
        <v>0</v>
      </c>
      <c r="V18" s="20">
        <v>0</v>
      </c>
      <c r="W18" s="109">
        <f t="shared" si="4"/>
        <v>713742.7760999999</v>
      </c>
    </row>
    <row r="19" spans="1:23" ht="13.5" x14ac:dyDescent="0.2">
      <c r="A19" s="35" t="s">
        <v>51</v>
      </c>
      <c r="B19" s="36">
        <v>0</v>
      </c>
      <c r="C19" s="36">
        <v>0</v>
      </c>
      <c r="D19" s="36">
        <v>0</v>
      </c>
      <c r="E19" s="36">
        <f t="shared" si="17"/>
        <v>0</v>
      </c>
      <c r="F19" s="36">
        <v>181936.48022</v>
      </c>
      <c r="G19" s="37">
        <v>84.534582</v>
      </c>
      <c r="H19" s="18">
        <f>IF(G19=0,0,F19/G19/1.2)</f>
        <v>1793.5113645758213</v>
      </c>
      <c r="I19" s="37">
        <f t="shared" si="18"/>
        <v>0</v>
      </c>
      <c r="J19" s="36">
        <v>0</v>
      </c>
      <c r="K19" s="36"/>
      <c r="L19" s="36"/>
      <c r="M19" s="36"/>
      <c r="N19" s="36"/>
      <c r="O19" s="36">
        <f t="shared" si="19"/>
        <v>0</v>
      </c>
      <c r="P19" s="36">
        <f t="shared" si="20"/>
        <v>181936.48022</v>
      </c>
      <c r="Q19" s="36">
        <f t="shared" si="21"/>
        <v>181936.48022</v>
      </c>
      <c r="R19" s="38">
        <f t="shared" si="22"/>
        <v>181936.48022</v>
      </c>
      <c r="T19" s="20">
        <v>0</v>
      </c>
      <c r="U19" s="20">
        <v>0</v>
      </c>
      <c r="V19" s="20">
        <v>0</v>
      </c>
      <c r="W19" s="36">
        <f t="shared" si="4"/>
        <v>151613.73351666666</v>
      </c>
    </row>
    <row r="20" spans="1:23" ht="13.5" x14ac:dyDescent="0.2">
      <c r="A20" s="35" t="s">
        <v>52</v>
      </c>
      <c r="B20" s="36">
        <v>24697547.217966668</v>
      </c>
      <c r="C20" s="36">
        <v>0</v>
      </c>
      <c r="D20" s="36">
        <v>1301271.3831399989</v>
      </c>
      <c r="E20" s="36">
        <f t="shared" si="17"/>
        <v>1301271.3831399989</v>
      </c>
      <c r="F20" s="36">
        <v>26965462.589109998</v>
      </c>
      <c r="G20" s="37">
        <v>11706.045252000002</v>
      </c>
      <c r="H20" s="18">
        <f>IF(G20=0,0,F20/G20/1.2)</f>
        <v>1919.6251458552222</v>
      </c>
      <c r="I20" s="37">
        <f t="shared" si="18"/>
        <v>27492918.695800003</v>
      </c>
      <c r="J20" s="36">
        <v>27492918.695800003</v>
      </c>
      <c r="K20" s="36"/>
      <c r="L20" s="36"/>
      <c r="M20" s="36"/>
      <c r="N20" s="36"/>
      <c r="O20" s="36">
        <f t="shared" si="19"/>
        <v>0</v>
      </c>
      <c r="P20" s="36">
        <f t="shared" si="20"/>
        <v>773815.27644999325</v>
      </c>
      <c r="Q20" s="36">
        <f t="shared" si="21"/>
        <v>773815.27644999325</v>
      </c>
      <c r="R20" s="38">
        <f t="shared" si="22"/>
        <v>-527456.10669000563</v>
      </c>
      <c r="T20" s="20">
        <v>0</v>
      </c>
      <c r="U20" s="20">
        <v>-5.5879354476928711E-9</v>
      </c>
      <c r="V20" s="20">
        <v>-5.5879354476928711E-9</v>
      </c>
      <c r="W20" s="36">
        <f t="shared" si="4"/>
        <v>22471218.824258331</v>
      </c>
    </row>
    <row r="21" spans="1:23" ht="13.5" x14ac:dyDescent="0.2">
      <c r="A21" s="35" t="s">
        <v>53</v>
      </c>
      <c r="B21" s="36">
        <v>1013255.2420666667</v>
      </c>
      <c r="C21" s="36">
        <v>0</v>
      </c>
      <c r="D21" s="36">
        <v>179163.69416000007</v>
      </c>
      <c r="E21" s="36">
        <f t="shared" si="17"/>
        <v>179163.69416000007</v>
      </c>
      <c r="F21" s="36">
        <v>1621125.66347</v>
      </c>
      <c r="G21" s="37">
        <v>491.31699500000002</v>
      </c>
      <c r="H21" s="18">
        <f>IF(G21=0,0,F21/G21/1.2)</f>
        <v>2749.6261408414475</v>
      </c>
      <c r="I21" s="37">
        <f t="shared" si="18"/>
        <v>1498643.30586</v>
      </c>
      <c r="J21" s="36">
        <v>1498643.30586</v>
      </c>
      <c r="K21" s="36"/>
      <c r="L21" s="36"/>
      <c r="M21" s="36"/>
      <c r="N21" s="36"/>
      <c r="O21" s="36">
        <f t="shared" si="19"/>
        <v>0</v>
      </c>
      <c r="P21" s="36">
        <f t="shared" si="20"/>
        <v>301646.05177000002</v>
      </c>
      <c r="Q21" s="36">
        <f t="shared" si="21"/>
        <v>301646.05177000002</v>
      </c>
      <c r="R21" s="38">
        <f t="shared" si="22"/>
        <v>122482.35760999995</v>
      </c>
      <c r="T21" s="20">
        <v>0</v>
      </c>
      <c r="U21" s="20">
        <v>0</v>
      </c>
      <c r="V21" s="20">
        <v>0</v>
      </c>
      <c r="W21" s="36">
        <f t="shared" si="4"/>
        <v>1350938.0528916668</v>
      </c>
    </row>
    <row r="22" spans="1:23" ht="13.5" x14ac:dyDescent="0.2">
      <c r="A22" s="35"/>
      <c r="B22" s="36">
        <v>0</v>
      </c>
      <c r="C22" s="36">
        <v>0</v>
      </c>
      <c r="D22" s="36">
        <v>0</v>
      </c>
      <c r="E22" s="36">
        <f t="shared" si="17"/>
        <v>0</v>
      </c>
      <c r="F22" s="36">
        <v>0</v>
      </c>
      <c r="G22" s="37">
        <v>0</v>
      </c>
      <c r="H22" s="18">
        <f>IF(G22=0,0,F22/G22/1.2)</f>
        <v>0</v>
      </c>
      <c r="I22" s="37"/>
      <c r="J22" s="36"/>
      <c r="K22" s="36"/>
      <c r="L22" s="36"/>
      <c r="M22" s="36"/>
      <c r="N22" s="36"/>
      <c r="O22" s="36">
        <f t="shared" si="19"/>
        <v>0</v>
      </c>
      <c r="P22" s="36">
        <f t="shared" si="20"/>
        <v>0</v>
      </c>
      <c r="Q22" s="36">
        <f t="shared" si="21"/>
        <v>0</v>
      </c>
      <c r="R22" s="38">
        <f t="shared" si="22"/>
        <v>0</v>
      </c>
      <c r="T22" s="20">
        <v>0</v>
      </c>
      <c r="U22" s="20">
        <v>0</v>
      </c>
      <c r="V22" s="20">
        <v>0</v>
      </c>
      <c r="W22" s="36">
        <f t="shared" si="4"/>
        <v>0</v>
      </c>
    </row>
    <row r="23" spans="1:23" ht="13.5" x14ac:dyDescent="0.2">
      <c r="A23" s="21" t="s">
        <v>54</v>
      </c>
      <c r="B23" s="22">
        <v>16994109.348549999</v>
      </c>
      <c r="C23" s="22">
        <f>C24+C29+C33+C37+C39</f>
        <v>286.18935999999769</v>
      </c>
      <c r="D23" s="22">
        <f t="shared" ref="D23:G23" si="23">D24+D29+D33+D37+D39</f>
        <v>1421698.2972699997</v>
      </c>
      <c r="E23" s="22">
        <f t="shared" si="23"/>
        <v>1421412.1079099998</v>
      </c>
      <c r="F23" s="22">
        <f t="shared" si="23"/>
        <v>15375457.835480001</v>
      </c>
      <c r="G23" s="22">
        <f t="shared" si="23"/>
        <v>48119.154000000002</v>
      </c>
      <c r="H23" s="40">
        <f>IF(G23=0," ",F23/G23*1000/1.2)</f>
        <v>266274.03984630876</v>
      </c>
      <c r="I23" s="22">
        <f t="shared" ref="I23:R23" si="24">I24+I29+I33+I37+I39</f>
        <v>15079878.13524</v>
      </c>
      <c r="J23" s="22">
        <f t="shared" si="24"/>
        <v>15079878.13524</v>
      </c>
      <c r="K23" s="22">
        <f t="shared" si="24"/>
        <v>0</v>
      </c>
      <c r="L23" s="22">
        <f t="shared" si="24"/>
        <v>0</v>
      </c>
      <c r="M23" s="22">
        <f t="shared" si="24"/>
        <v>0</v>
      </c>
      <c r="N23" s="22">
        <f t="shared" si="24"/>
        <v>0</v>
      </c>
      <c r="O23" s="22">
        <f t="shared" si="24"/>
        <v>0</v>
      </c>
      <c r="P23" s="22">
        <f t="shared" si="24"/>
        <v>1716991.8081500023</v>
      </c>
      <c r="Q23" s="22">
        <f t="shared" si="24"/>
        <v>1716991.8081500023</v>
      </c>
      <c r="R23" s="22">
        <f t="shared" si="24"/>
        <v>295579.70024000242</v>
      </c>
      <c r="T23" s="20">
        <v>0</v>
      </c>
      <c r="U23" s="20">
        <v>2.5611370801925659E-9</v>
      </c>
      <c r="V23" s="20">
        <v>2.5611370801925659E-9</v>
      </c>
      <c r="W23" s="22">
        <f t="shared" si="4"/>
        <v>12812881.529566668</v>
      </c>
    </row>
    <row r="24" spans="1:23" ht="13.5" x14ac:dyDescent="0.2">
      <c r="A24" s="24" t="s">
        <v>40</v>
      </c>
      <c r="B24" s="25">
        <v>7467598.8218583344</v>
      </c>
      <c r="C24" s="25">
        <f>SUM(C25:C28)</f>
        <v>94.182859999997717</v>
      </c>
      <c r="D24" s="25">
        <f>SUM(D25:D28)</f>
        <v>514366.6807400001</v>
      </c>
      <c r="E24" s="25">
        <f>SUM(E25:E28)</f>
        <v>514272.4978800001</v>
      </c>
      <c r="F24" s="25">
        <f>SUM(F25:F28)</f>
        <v>9757691.00612</v>
      </c>
      <c r="G24" s="41">
        <f>SUM(G25:G28)</f>
        <v>17672.543000000001</v>
      </c>
      <c r="H24" s="40">
        <f>IF(G24=0," ",F24/G24*1000/1.2)</f>
        <v>460115.39888552914</v>
      </c>
      <c r="I24" s="25">
        <f t="shared" ref="I24:R24" si="25">SUM(I25:I28)</f>
        <v>9297359.7310699988</v>
      </c>
      <c r="J24" s="25">
        <f t="shared" si="25"/>
        <v>9297359.7310699988</v>
      </c>
      <c r="K24" s="25">
        <f t="shared" si="25"/>
        <v>0</v>
      </c>
      <c r="L24" s="25">
        <f t="shared" si="25"/>
        <v>0</v>
      </c>
      <c r="M24" s="25">
        <f t="shared" si="25"/>
        <v>0</v>
      </c>
      <c r="N24" s="25">
        <f t="shared" si="25"/>
        <v>0</v>
      </c>
      <c r="O24" s="25">
        <f t="shared" si="25"/>
        <v>0</v>
      </c>
      <c r="P24" s="25">
        <f t="shared" si="25"/>
        <v>974603.77293000231</v>
      </c>
      <c r="Q24" s="25">
        <f t="shared" si="25"/>
        <v>974603.77293000231</v>
      </c>
      <c r="R24" s="27">
        <f t="shared" si="25"/>
        <v>460331.27505000227</v>
      </c>
      <c r="T24" s="20">
        <v>0</v>
      </c>
      <c r="U24" s="20">
        <v>1.3969838619232178E-9</v>
      </c>
      <c r="V24" s="20">
        <v>1.3969838619232178E-9</v>
      </c>
      <c r="W24" s="25">
        <f t="shared" si="4"/>
        <v>8131409.1717666667</v>
      </c>
    </row>
    <row r="25" spans="1:23" ht="13.5" x14ac:dyDescent="0.2">
      <c r="A25" s="42" t="s">
        <v>41</v>
      </c>
      <c r="B25" s="108">
        <v>0</v>
      </c>
      <c r="C25" s="29">
        <v>0</v>
      </c>
      <c r="D25" s="29">
        <v>0</v>
      </c>
      <c r="E25" s="29">
        <f>D25-C25</f>
        <v>0</v>
      </c>
      <c r="F25" s="29">
        <v>0</v>
      </c>
      <c r="G25" s="43">
        <v>0</v>
      </c>
      <c r="H25" s="44">
        <f>IF(G25=0,0,F25/G25/1.2*1000)</f>
        <v>0</v>
      </c>
      <c r="I25" s="31">
        <f t="shared" ref="I25:I28" si="26">SUM(J25:L25)</f>
        <v>0</v>
      </c>
      <c r="J25" s="29">
        <v>0</v>
      </c>
      <c r="K25" s="29"/>
      <c r="L25" s="29"/>
      <c r="M25" s="29"/>
      <c r="N25" s="29"/>
      <c r="O25" s="29">
        <f>IF(Q25&lt;0,-Q25,0)</f>
        <v>0</v>
      </c>
      <c r="P25" s="29">
        <f>Q25+O25</f>
        <v>0</v>
      </c>
      <c r="Q25" s="29">
        <f t="shared" ref="Q25:Q28" si="27">E25+F25-I25-M25-N25</f>
        <v>0</v>
      </c>
      <c r="R25" s="32">
        <f>Q25-E25</f>
        <v>0</v>
      </c>
      <c r="T25" s="20">
        <v>0</v>
      </c>
      <c r="U25" s="20">
        <v>0</v>
      </c>
      <c r="V25" s="20">
        <v>0</v>
      </c>
      <c r="W25" s="108">
        <f t="shared" si="4"/>
        <v>0</v>
      </c>
    </row>
    <row r="26" spans="1:23" ht="13.5" x14ac:dyDescent="0.2">
      <c r="A26" s="42" t="s">
        <v>55</v>
      </c>
      <c r="B26" s="29">
        <v>7349124.9426666684</v>
      </c>
      <c r="C26" s="29">
        <v>0</v>
      </c>
      <c r="D26" s="29">
        <v>500188.46354000008</v>
      </c>
      <c r="E26" s="29">
        <f>D26-C26</f>
        <v>500188.46354000008</v>
      </c>
      <c r="F26" s="29">
        <v>9562838.4464900009</v>
      </c>
      <c r="G26" s="43">
        <v>17388.277000000002</v>
      </c>
      <c r="H26" s="44">
        <f>IF(G26=0,0,F26/G26/1.2*1000)</f>
        <v>458299.11950112518</v>
      </c>
      <c r="I26" s="31">
        <f t="shared" si="26"/>
        <v>9106125.2244799994</v>
      </c>
      <c r="J26" s="29">
        <v>9106125.2244799994</v>
      </c>
      <c r="K26" s="29"/>
      <c r="L26" s="29"/>
      <c r="M26" s="29"/>
      <c r="N26" s="29"/>
      <c r="O26" s="29">
        <f>IF(Q26&lt;0,-Q26,0)</f>
        <v>0</v>
      </c>
      <c r="P26" s="29">
        <f>Q26+O26</f>
        <v>956901.68555000238</v>
      </c>
      <c r="Q26" s="29">
        <f t="shared" si="27"/>
        <v>956901.68555000238</v>
      </c>
      <c r="R26" s="32">
        <f>Q26-E26</f>
        <v>456713.2220100023</v>
      </c>
      <c r="T26" s="20">
        <v>0</v>
      </c>
      <c r="U26" s="20">
        <v>1.3969838619232178E-9</v>
      </c>
      <c r="V26" s="20">
        <v>1.3969838619232178E-9</v>
      </c>
      <c r="W26" s="29">
        <f t="shared" si="4"/>
        <v>7969032.0387416678</v>
      </c>
    </row>
    <row r="27" spans="1:23" ht="13.5" x14ac:dyDescent="0.2">
      <c r="A27" s="42" t="s">
        <v>56</v>
      </c>
      <c r="B27" s="29">
        <v>107895.14610000001</v>
      </c>
      <c r="C27" s="29">
        <v>0</v>
      </c>
      <c r="D27" s="29">
        <v>14178.217199999992</v>
      </c>
      <c r="E27" s="29">
        <f>D27-C27</f>
        <v>14178.217199999992</v>
      </c>
      <c r="F27" s="29">
        <v>190700.28533999997</v>
      </c>
      <c r="G27" s="43">
        <v>282.08800000000002</v>
      </c>
      <c r="H27" s="44">
        <f>IF(G27=0,0,F27/G27/1.2*1000)</f>
        <v>563359.32209097862</v>
      </c>
      <c r="I27" s="31">
        <f t="shared" si="26"/>
        <v>187534.18247999999</v>
      </c>
      <c r="J27" s="29">
        <v>187534.18247999999</v>
      </c>
      <c r="K27" s="29"/>
      <c r="L27" s="29"/>
      <c r="M27" s="29"/>
      <c r="N27" s="29"/>
      <c r="O27" s="29">
        <f>IF(Q27&lt;0,-Q27,0)</f>
        <v>0</v>
      </c>
      <c r="P27" s="29">
        <f>Q27+O27</f>
        <v>17344.320059999969</v>
      </c>
      <c r="Q27" s="29">
        <f t="shared" si="27"/>
        <v>17344.320059999969</v>
      </c>
      <c r="R27" s="32">
        <f>Q27-E27</f>
        <v>3166.1028599999772</v>
      </c>
      <c r="T27" s="20">
        <v>0</v>
      </c>
      <c r="U27" s="20">
        <v>0</v>
      </c>
      <c r="V27" s="20">
        <v>0</v>
      </c>
      <c r="W27" s="29">
        <f t="shared" si="4"/>
        <v>158916.90444999997</v>
      </c>
    </row>
    <row r="28" spans="1:23" ht="13.5" x14ac:dyDescent="0.2">
      <c r="A28" s="42" t="s">
        <v>57</v>
      </c>
      <c r="B28" s="29">
        <v>10578.733091666669</v>
      </c>
      <c r="C28" s="29">
        <v>94.182859999997717</v>
      </c>
      <c r="D28" s="29">
        <v>0</v>
      </c>
      <c r="E28" s="29">
        <f>D28-C28</f>
        <v>-94.182859999997717</v>
      </c>
      <c r="F28" s="29">
        <v>4152.2742900000003</v>
      </c>
      <c r="G28" s="43">
        <v>2.1779999999999999</v>
      </c>
      <c r="H28" s="44">
        <f>IF(G28=0,0,F28/G28/1.2*1000)</f>
        <v>1588718.3539944906</v>
      </c>
      <c r="I28" s="31">
        <f t="shared" si="26"/>
        <v>3700.3241100000018</v>
      </c>
      <c r="J28" s="29">
        <v>3700.3241100000018</v>
      </c>
      <c r="K28" s="29"/>
      <c r="L28" s="29"/>
      <c r="M28" s="29"/>
      <c r="N28" s="29"/>
      <c r="O28" s="29">
        <f>IF(Q28&lt;0,-Q28,0)</f>
        <v>0</v>
      </c>
      <c r="P28" s="29">
        <f>Q28+O28</f>
        <v>357.76732000000084</v>
      </c>
      <c r="Q28" s="29">
        <f t="shared" si="27"/>
        <v>357.76732000000084</v>
      </c>
      <c r="R28" s="32">
        <f>Q28-E28</f>
        <v>451.95017999999857</v>
      </c>
      <c r="T28" s="20">
        <v>0</v>
      </c>
      <c r="U28" s="20">
        <v>0</v>
      </c>
      <c r="V28" s="20">
        <v>0</v>
      </c>
      <c r="W28" s="29">
        <f t="shared" si="4"/>
        <v>3460.2285750000005</v>
      </c>
    </row>
    <row r="29" spans="1:23" ht="13.5" x14ac:dyDescent="0.2">
      <c r="A29" s="24" t="s">
        <v>43</v>
      </c>
      <c r="B29" s="25">
        <v>1879231.1677083336</v>
      </c>
      <c r="C29" s="25">
        <f>SUM(C30:C32)</f>
        <v>0</v>
      </c>
      <c r="D29" s="25">
        <f>SUM(D30:D32)</f>
        <v>222473.36576000007</v>
      </c>
      <c r="E29" s="25">
        <f>SUM(E30:E32)</f>
        <v>222473.36576000007</v>
      </c>
      <c r="F29" s="25">
        <f>SUM(F30:F32)</f>
        <v>1621752.25303</v>
      </c>
      <c r="G29" s="41">
        <f>SUM(G30:G32)</f>
        <v>11628.16</v>
      </c>
      <c r="H29" s="40">
        <f>IF(G29=0," ",F29/G29*1000/1.2)</f>
        <v>116223.04912026782</v>
      </c>
      <c r="I29" s="25">
        <f t="shared" ref="I29:R29" si="28">SUM(I30:I32)</f>
        <v>1658059.8876000002</v>
      </c>
      <c r="J29" s="25">
        <f t="shared" si="28"/>
        <v>1658059.8876000002</v>
      </c>
      <c r="K29" s="25">
        <f t="shared" si="28"/>
        <v>0</v>
      </c>
      <c r="L29" s="25">
        <f t="shared" si="28"/>
        <v>0</v>
      </c>
      <c r="M29" s="25">
        <f t="shared" si="28"/>
        <v>0</v>
      </c>
      <c r="N29" s="25">
        <f t="shared" si="28"/>
        <v>0</v>
      </c>
      <c r="O29" s="25">
        <f t="shared" si="28"/>
        <v>0</v>
      </c>
      <c r="P29" s="25">
        <f t="shared" si="28"/>
        <v>186165.73118999979</v>
      </c>
      <c r="Q29" s="25">
        <f t="shared" si="28"/>
        <v>186165.73118999979</v>
      </c>
      <c r="R29" s="27">
        <f t="shared" si="28"/>
        <v>-36307.634570000286</v>
      </c>
      <c r="T29" s="20">
        <v>0</v>
      </c>
      <c r="U29" s="20">
        <v>0</v>
      </c>
      <c r="V29" s="20">
        <v>0</v>
      </c>
      <c r="W29" s="25">
        <f t="shared" si="4"/>
        <v>1351460.2108583334</v>
      </c>
    </row>
    <row r="30" spans="1:23" ht="13.5" x14ac:dyDescent="0.2">
      <c r="A30" s="33" t="s">
        <v>44</v>
      </c>
      <c r="B30" s="108">
        <v>821656.69759166683</v>
      </c>
      <c r="C30" s="29">
        <v>0</v>
      </c>
      <c r="D30" s="29">
        <v>91608.786410000015</v>
      </c>
      <c r="E30" s="29">
        <f>D30-C30</f>
        <v>91608.786410000015</v>
      </c>
      <c r="F30" s="29">
        <v>1221824.6782</v>
      </c>
      <c r="G30" s="43">
        <v>11150.18</v>
      </c>
      <c r="H30" s="44">
        <f>IF(G30=0,0,F30/G30/1.2*1000)</f>
        <v>91315.766367299308</v>
      </c>
      <c r="I30" s="31">
        <f t="shared" ref="I30:I32" si="29">SUM(J30:L30)</f>
        <v>1187116.4830600002</v>
      </c>
      <c r="J30" s="29">
        <v>1187116.4830600002</v>
      </c>
      <c r="K30" s="29"/>
      <c r="L30" s="29"/>
      <c r="M30" s="29"/>
      <c r="N30" s="29"/>
      <c r="O30" s="29">
        <f>IF(Q30&lt;0,-Q30,0)</f>
        <v>0</v>
      </c>
      <c r="P30" s="29">
        <f>Q30+O30</f>
        <v>126316.98154999968</v>
      </c>
      <c r="Q30" s="29">
        <f t="shared" ref="Q30:Q32" si="30">E30+F30-I30-M30-N30</f>
        <v>126316.98154999968</v>
      </c>
      <c r="R30" s="32">
        <f>Q30-E30</f>
        <v>34708.195139999661</v>
      </c>
      <c r="T30" s="20">
        <v>0</v>
      </c>
      <c r="U30" s="20">
        <v>1.1641532182693481E-10</v>
      </c>
      <c r="V30" s="20">
        <v>1.1641532182693481E-10</v>
      </c>
      <c r="W30" s="108">
        <f t="shared" si="4"/>
        <v>1018187.2318333334</v>
      </c>
    </row>
    <row r="31" spans="1:23" ht="13.5" x14ac:dyDescent="0.2">
      <c r="A31" s="45" t="s">
        <v>58</v>
      </c>
      <c r="B31" s="29">
        <v>0</v>
      </c>
      <c r="C31" s="29">
        <v>0</v>
      </c>
      <c r="D31" s="29">
        <v>0</v>
      </c>
      <c r="E31" s="29">
        <f>D31-C31</f>
        <v>0</v>
      </c>
      <c r="F31" s="29">
        <v>0</v>
      </c>
      <c r="G31" s="43">
        <v>0</v>
      </c>
      <c r="H31" s="44">
        <f>IF(G31=0,0,F31/G31/1.2*1000)</f>
        <v>0</v>
      </c>
      <c r="I31" s="31">
        <f t="shared" si="29"/>
        <v>0</v>
      </c>
      <c r="J31" s="29">
        <v>0</v>
      </c>
      <c r="K31" s="29"/>
      <c r="L31" s="29"/>
      <c r="M31" s="29"/>
      <c r="N31" s="29"/>
      <c r="O31" s="29">
        <f>IF(Q31&lt;0,-Q31,0)</f>
        <v>0</v>
      </c>
      <c r="P31" s="29">
        <f>Q31+O31</f>
        <v>0</v>
      </c>
      <c r="Q31" s="29">
        <f t="shared" si="30"/>
        <v>0</v>
      </c>
      <c r="R31" s="32">
        <f>Q31-E31</f>
        <v>0</v>
      </c>
      <c r="T31" s="20">
        <v>0</v>
      </c>
      <c r="U31" s="20">
        <v>0</v>
      </c>
      <c r="V31" s="20">
        <v>0</v>
      </c>
      <c r="W31" s="29">
        <f t="shared" si="4"/>
        <v>0</v>
      </c>
    </row>
    <row r="32" spans="1:23" ht="13.5" x14ac:dyDescent="0.2">
      <c r="A32" s="45" t="s">
        <v>59</v>
      </c>
      <c r="B32" s="29">
        <v>1057574.4701166668</v>
      </c>
      <c r="C32" s="29">
        <v>0</v>
      </c>
      <c r="D32" s="29">
        <v>130864.57935000006</v>
      </c>
      <c r="E32" s="29">
        <f>D32-C32</f>
        <v>130864.57935000006</v>
      </c>
      <c r="F32" s="29">
        <v>399927.57483</v>
      </c>
      <c r="G32" s="43">
        <v>477.97999999999996</v>
      </c>
      <c r="H32" s="44">
        <f>IF(G32=0,0,F32/G32/1.2*1000)</f>
        <v>697252.97925645427</v>
      </c>
      <c r="I32" s="31">
        <f t="shared" si="29"/>
        <v>470943.40453999996</v>
      </c>
      <c r="J32" s="29">
        <v>470943.40453999996</v>
      </c>
      <c r="K32" s="29"/>
      <c r="L32" s="29"/>
      <c r="M32" s="29"/>
      <c r="N32" s="29"/>
      <c r="O32" s="29">
        <f>IF(Q32&lt;0,-Q32,0)</f>
        <v>0</v>
      </c>
      <c r="P32" s="29">
        <f>Q32+O32</f>
        <v>59848.749640000111</v>
      </c>
      <c r="Q32" s="29">
        <f t="shared" si="30"/>
        <v>59848.749640000111</v>
      </c>
      <c r="R32" s="32">
        <f>Q32-E32</f>
        <v>-71015.829709999947</v>
      </c>
      <c r="T32" s="20">
        <v>0</v>
      </c>
      <c r="U32" s="20">
        <v>0</v>
      </c>
      <c r="V32" s="20">
        <v>0</v>
      </c>
      <c r="W32" s="29">
        <f t="shared" si="4"/>
        <v>333272.97902500001</v>
      </c>
    </row>
    <row r="33" spans="1:23" ht="13.5" x14ac:dyDescent="0.2">
      <c r="A33" s="24" t="s">
        <v>46</v>
      </c>
      <c r="B33" s="25">
        <v>1042525.5005999998</v>
      </c>
      <c r="C33" s="25">
        <f>SUM(C34:C36)</f>
        <v>0</v>
      </c>
      <c r="D33" s="25">
        <f>SUM(D34:D36)</f>
        <v>140720.99249000006</v>
      </c>
      <c r="E33" s="25">
        <f>SUM(E34:E36)</f>
        <v>140720.99249000006</v>
      </c>
      <c r="F33" s="25">
        <f>SUM(F34:F36)</f>
        <v>659287.60270000005</v>
      </c>
      <c r="G33" s="41">
        <f>SUM(G34:G36)</f>
        <v>7939.3070000000007</v>
      </c>
      <c r="H33" s="40">
        <f>IF(G33=0," ",F33/G33*1000/1.2)</f>
        <v>69200.79240963138</v>
      </c>
      <c r="I33" s="25">
        <f t="shared" ref="I33:R33" si="31">SUM(I34:I36)</f>
        <v>717876.63910000003</v>
      </c>
      <c r="J33" s="25">
        <f t="shared" si="31"/>
        <v>717876.63910000003</v>
      </c>
      <c r="K33" s="25">
        <f t="shared" si="31"/>
        <v>0</v>
      </c>
      <c r="L33" s="25">
        <f t="shared" si="31"/>
        <v>0</v>
      </c>
      <c r="M33" s="25">
        <f t="shared" si="31"/>
        <v>0</v>
      </c>
      <c r="N33" s="25">
        <f t="shared" si="31"/>
        <v>0</v>
      </c>
      <c r="O33" s="25">
        <f t="shared" si="31"/>
        <v>0</v>
      </c>
      <c r="P33" s="25">
        <f t="shared" si="31"/>
        <v>82131.956090000167</v>
      </c>
      <c r="Q33" s="25">
        <f t="shared" si="31"/>
        <v>82131.956090000167</v>
      </c>
      <c r="R33" s="27">
        <f t="shared" si="31"/>
        <v>-58589.036399999903</v>
      </c>
      <c r="T33" s="20">
        <v>0</v>
      </c>
      <c r="U33" s="20">
        <v>0</v>
      </c>
      <c r="V33" s="20">
        <v>0</v>
      </c>
      <c r="W33" s="25">
        <f t="shared" si="4"/>
        <v>549406.33558333339</v>
      </c>
    </row>
    <row r="34" spans="1:23" ht="13.5" x14ac:dyDescent="0.2">
      <c r="A34" s="46" t="s">
        <v>47</v>
      </c>
      <c r="B34" s="109">
        <v>375384.8523583333</v>
      </c>
      <c r="C34" s="36">
        <v>0</v>
      </c>
      <c r="D34" s="36">
        <v>60010.52984000001</v>
      </c>
      <c r="E34" s="36">
        <f>D34-C34</f>
        <v>60010.52984000001</v>
      </c>
      <c r="F34" s="36">
        <v>398613.52014000004</v>
      </c>
      <c r="G34" s="47">
        <v>7624.7920000000004</v>
      </c>
      <c r="H34" s="48">
        <f>IF(G34=0,0,F34/G34/1.2*1000)</f>
        <v>43565.507550894501</v>
      </c>
      <c r="I34" s="37">
        <f t="shared" ref="I34:I36" si="32">SUM(J34:L34)</f>
        <v>414444.43719999999</v>
      </c>
      <c r="J34" s="36">
        <v>414444.43719999999</v>
      </c>
      <c r="K34" s="36"/>
      <c r="L34" s="36"/>
      <c r="M34" s="36"/>
      <c r="N34" s="36"/>
      <c r="O34" s="36">
        <f>IF(Q34&lt;0,-Q34,0)</f>
        <v>0</v>
      </c>
      <c r="P34" s="36">
        <f>Q34+O34</f>
        <v>44179.612780000083</v>
      </c>
      <c r="Q34" s="36">
        <f t="shared" ref="Q34:Q36" si="33">E34+F34-I34-M34-N34</f>
        <v>44179.612780000083</v>
      </c>
      <c r="R34" s="38">
        <f>Q34-E34</f>
        <v>-15830.917059999927</v>
      </c>
      <c r="T34" s="20">
        <v>0</v>
      </c>
      <c r="U34" s="20">
        <v>0</v>
      </c>
      <c r="V34" s="20">
        <v>0</v>
      </c>
      <c r="W34" s="109">
        <f t="shared" si="4"/>
        <v>332177.93345000007</v>
      </c>
    </row>
    <row r="35" spans="1:23" ht="13.5" x14ac:dyDescent="0.2">
      <c r="A35" s="46" t="s">
        <v>60</v>
      </c>
      <c r="B35" s="36">
        <v>0</v>
      </c>
      <c r="C35" s="36">
        <v>0</v>
      </c>
      <c r="D35" s="36">
        <v>0</v>
      </c>
      <c r="E35" s="36">
        <f>D35-C35</f>
        <v>0</v>
      </c>
      <c r="F35" s="36">
        <v>0</v>
      </c>
      <c r="G35" s="47">
        <v>0</v>
      </c>
      <c r="H35" s="48">
        <f>IF(G35=0,0,F35/G35/1.2*1000)</f>
        <v>0</v>
      </c>
      <c r="I35" s="37">
        <f t="shared" si="32"/>
        <v>0</v>
      </c>
      <c r="J35" s="36">
        <v>0</v>
      </c>
      <c r="K35" s="36"/>
      <c r="L35" s="36"/>
      <c r="M35" s="36"/>
      <c r="N35" s="36"/>
      <c r="O35" s="36">
        <f>IF(Q35&lt;0,-Q35,0)</f>
        <v>0</v>
      </c>
      <c r="P35" s="36">
        <f>Q35+O35</f>
        <v>0</v>
      </c>
      <c r="Q35" s="36">
        <f t="shared" si="33"/>
        <v>0</v>
      </c>
      <c r="R35" s="38">
        <f>Q35-E35</f>
        <v>0</v>
      </c>
      <c r="T35" s="20">
        <v>0</v>
      </c>
      <c r="U35" s="20">
        <v>0</v>
      </c>
      <c r="V35" s="20">
        <v>0</v>
      </c>
      <c r="W35" s="36">
        <f t="shared" si="4"/>
        <v>0</v>
      </c>
    </row>
    <row r="36" spans="1:23" ht="13.5" x14ac:dyDescent="0.2">
      <c r="A36" s="46" t="s">
        <v>61</v>
      </c>
      <c r="B36" s="36">
        <v>667140.64824166673</v>
      </c>
      <c r="C36" s="36">
        <v>0</v>
      </c>
      <c r="D36" s="36">
        <v>80710.46265000006</v>
      </c>
      <c r="E36" s="36">
        <f>D36-C36</f>
        <v>80710.46265000006</v>
      </c>
      <c r="F36" s="36">
        <v>260674.08256000001</v>
      </c>
      <c r="G36" s="47">
        <v>314.51499999999999</v>
      </c>
      <c r="H36" s="48">
        <f>IF(G36=0,0,F36/G36/1.2*1000)</f>
        <v>690677.39895818441</v>
      </c>
      <c r="I36" s="37">
        <f t="shared" si="32"/>
        <v>303432.20189999999</v>
      </c>
      <c r="J36" s="36">
        <v>303432.20189999999</v>
      </c>
      <c r="K36" s="36"/>
      <c r="L36" s="36"/>
      <c r="M36" s="36"/>
      <c r="N36" s="36"/>
      <c r="O36" s="36">
        <f>IF(Q36&lt;0,-Q36,0)</f>
        <v>0</v>
      </c>
      <c r="P36" s="36">
        <f>Q36+O36</f>
        <v>37952.343310000084</v>
      </c>
      <c r="Q36" s="36">
        <f t="shared" si="33"/>
        <v>37952.343310000084</v>
      </c>
      <c r="R36" s="38">
        <f>Q36-E36</f>
        <v>-42758.119339999976</v>
      </c>
      <c r="T36" s="20">
        <v>0</v>
      </c>
      <c r="U36" s="20">
        <v>0</v>
      </c>
      <c r="V36" s="20">
        <v>0</v>
      </c>
      <c r="W36" s="36">
        <f t="shared" si="4"/>
        <v>217228.40213333335</v>
      </c>
    </row>
    <row r="37" spans="1:23" ht="13.5" x14ac:dyDescent="0.2">
      <c r="A37" s="24" t="s">
        <v>62</v>
      </c>
      <c r="B37" s="25">
        <v>12273.414233333335</v>
      </c>
      <c r="C37" s="25">
        <f>SUM(C38:C38)</f>
        <v>0</v>
      </c>
      <c r="D37" s="25">
        <f>SUM(D38:D38)</f>
        <v>1114.9958799999997</v>
      </c>
      <c r="E37" s="25">
        <f>SUM(E38:E38)</f>
        <v>1114.9958799999997</v>
      </c>
      <c r="F37" s="25">
        <f>SUM(F38:F38)</f>
        <v>8334.1881799999992</v>
      </c>
      <c r="G37" s="41">
        <f>SUM(G38:G38)</f>
        <v>2.2700000000000005</v>
      </c>
      <c r="H37" s="40">
        <f>IF(G37=0," ",F37/G37*1000/1.2)</f>
        <v>3059540.4478707775</v>
      </c>
      <c r="I37" s="25">
        <f t="shared" ref="I37:R37" si="34">SUM(I38:I38)</f>
        <v>8698.834069999999</v>
      </c>
      <c r="J37" s="25">
        <f t="shared" si="34"/>
        <v>8698.834069999999</v>
      </c>
      <c r="K37" s="25">
        <f t="shared" si="34"/>
        <v>0</v>
      </c>
      <c r="L37" s="25">
        <f t="shared" si="34"/>
        <v>0</v>
      </c>
      <c r="M37" s="25">
        <f t="shared" si="34"/>
        <v>0</v>
      </c>
      <c r="N37" s="25">
        <f t="shared" si="34"/>
        <v>0</v>
      </c>
      <c r="O37" s="25">
        <f t="shared" si="34"/>
        <v>0</v>
      </c>
      <c r="P37" s="25">
        <f t="shared" si="34"/>
        <v>750.34999000000062</v>
      </c>
      <c r="Q37" s="25">
        <f t="shared" si="34"/>
        <v>750.34999000000062</v>
      </c>
      <c r="R37" s="27">
        <f t="shared" si="34"/>
        <v>-364.6458899999991</v>
      </c>
      <c r="T37" s="20">
        <v>0</v>
      </c>
      <c r="U37" s="20">
        <v>3.637978807091713E-12</v>
      </c>
      <c r="V37" s="20">
        <v>3.637978807091713E-12</v>
      </c>
      <c r="W37" s="25">
        <f t="shared" si="4"/>
        <v>6945.1568166666666</v>
      </c>
    </row>
    <row r="38" spans="1:23" ht="13.5" x14ac:dyDescent="0.2">
      <c r="A38" s="46" t="s">
        <v>63</v>
      </c>
      <c r="B38" s="36">
        <v>12273.414233333335</v>
      </c>
      <c r="C38" s="36">
        <v>0</v>
      </c>
      <c r="D38" s="36">
        <v>1114.9958799999997</v>
      </c>
      <c r="E38" s="36">
        <f>D38-C38</f>
        <v>1114.9958799999997</v>
      </c>
      <c r="F38" s="36">
        <v>8334.1881799999992</v>
      </c>
      <c r="G38" s="47">
        <v>2.2700000000000005</v>
      </c>
      <c r="H38" s="48">
        <f>IF(G38=0,0,F38/G38/1.2*1000)</f>
        <v>3059540.4478707775</v>
      </c>
      <c r="I38" s="37">
        <f t="shared" ref="I38" si="35">SUM(J38:L38)</f>
        <v>8698.834069999999</v>
      </c>
      <c r="J38" s="36">
        <v>8698.834069999999</v>
      </c>
      <c r="K38" s="36"/>
      <c r="L38" s="36"/>
      <c r="M38" s="36"/>
      <c r="N38" s="36"/>
      <c r="O38" s="36">
        <f>IF(Q38&lt;0,-Q38,0)</f>
        <v>0</v>
      </c>
      <c r="P38" s="36">
        <f>Q38+O38</f>
        <v>750.34999000000062</v>
      </c>
      <c r="Q38" s="36">
        <f t="shared" ref="Q38" si="36">E38+F38-I38-M38-N38</f>
        <v>750.34999000000062</v>
      </c>
      <c r="R38" s="38">
        <f>Q38-E38</f>
        <v>-364.6458899999991</v>
      </c>
      <c r="T38" s="20">
        <v>0</v>
      </c>
      <c r="U38" s="20">
        <v>3.637978807091713E-12</v>
      </c>
      <c r="V38" s="20">
        <v>3.637978807091713E-12</v>
      </c>
      <c r="W38" s="36">
        <f t="shared" si="4"/>
        <v>6945.1568166666666</v>
      </c>
    </row>
    <row r="39" spans="1:23" ht="13.5" x14ac:dyDescent="0.2">
      <c r="A39" s="24" t="s">
        <v>49</v>
      </c>
      <c r="B39" s="25">
        <v>6592480.4441500008</v>
      </c>
      <c r="C39" s="25">
        <f>SUM(C40:C45)</f>
        <v>192.00649999999999</v>
      </c>
      <c r="D39" s="25">
        <f>SUM(D40:D45)</f>
        <v>543022.26239999954</v>
      </c>
      <c r="E39" s="25">
        <f>SUM(E40:E45)</f>
        <v>542830.25589999952</v>
      </c>
      <c r="F39" s="25">
        <f>SUM(F40:F45)</f>
        <v>3328392.7854500008</v>
      </c>
      <c r="G39" s="41">
        <f>SUM(G40:G45)</f>
        <v>10876.874000000003</v>
      </c>
      <c r="H39" s="40">
        <f>IF(G39=0," ",F39/G39*1000/1.2)</f>
        <v>255005.31260559481</v>
      </c>
      <c r="I39" s="25">
        <f t="shared" ref="I39:R39" si="37">SUM(I40:I45)</f>
        <v>3397883.0433999998</v>
      </c>
      <c r="J39" s="25">
        <f t="shared" si="37"/>
        <v>3397883.0433999998</v>
      </c>
      <c r="K39" s="25">
        <f t="shared" si="37"/>
        <v>0</v>
      </c>
      <c r="L39" s="25">
        <f t="shared" si="37"/>
        <v>0</v>
      </c>
      <c r="M39" s="25">
        <f t="shared" si="37"/>
        <v>0</v>
      </c>
      <c r="N39" s="25">
        <f t="shared" si="37"/>
        <v>0</v>
      </c>
      <c r="O39" s="25">
        <f t="shared" si="37"/>
        <v>0</v>
      </c>
      <c r="P39" s="25">
        <f t="shared" si="37"/>
        <v>473339.99794999987</v>
      </c>
      <c r="Q39" s="25">
        <f t="shared" si="37"/>
        <v>473339.99794999987</v>
      </c>
      <c r="R39" s="27">
        <f t="shared" si="37"/>
        <v>-69490.25794999965</v>
      </c>
      <c r="T39" s="20">
        <v>0</v>
      </c>
      <c r="U39" s="20">
        <v>1.2223608791828156E-9</v>
      </c>
      <c r="V39" s="20">
        <v>1.2223608791828156E-9</v>
      </c>
      <c r="W39" s="25">
        <f t="shared" si="4"/>
        <v>2773660.6545416676</v>
      </c>
    </row>
    <row r="40" spans="1:23" ht="13.5" x14ac:dyDescent="0.2">
      <c r="A40" s="46" t="s">
        <v>64</v>
      </c>
      <c r="B40" s="109">
        <v>514196.3467833334</v>
      </c>
      <c r="C40" s="36">
        <v>0</v>
      </c>
      <c r="D40" s="36">
        <v>59304.039400000023</v>
      </c>
      <c r="E40" s="36">
        <f t="shared" ref="E40:E48" si="38">D40-C40</f>
        <v>59304.039400000023</v>
      </c>
      <c r="F40" s="36">
        <v>608583.53659999999</v>
      </c>
      <c r="G40" s="47">
        <v>8645.1020000000008</v>
      </c>
      <c r="H40" s="48">
        <f t="shared" ref="H40:H45" si="39">IF(G40=0,0,F40/G40/1.2*1000)</f>
        <v>58663.616365274429</v>
      </c>
      <c r="I40" s="37">
        <f t="shared" ref="I40:I49" si="40">SUM(J40:L40)</f>
        <v>605264.58438000001</v>
      </c>
      <c r="J40" s="36">
        <v>605264.58438000001</v>
      </c>
      <c r="K40" s="36"/>
      <c r="L40" s="36"/>
      <c r="M40" s="36"/>
      <c r="N40" s="36"/>
      <c r="O40" s="36">
        <f t="shared" ref="O40:O48" si="41">IF(Q40&lt;0,-Q40,0)</f>
        <v>0</v>
      </c>
      <c r="P40" s="36">
        <f t="shared" ref="P40:P48" si="42">Q40+O40</f>
        <v>62622.991619999986</v>
      </c>
      <c r="Q40" s="36">
        <f t="shared" ref="Q40:Q49" si="43">E40+F40-I40-M40-N40</f>
        <v>62622.991619999986</v>
      </c>
      <c r="R40" s="38">
        <f t="shared" ref="R40:R48" si="44">Q40-E40</f>
        <v>3318.9522199999628</v>
      </c>
      <c r="T40" s="20">
        <v>0</v>
      </c>
      <c r="U40" s="20">
        <v>3.4924596548080444E-10</v>
      </c>
      <c r="V40" s="20">
        <v>3.4924596548080444E-10</v>
      </c>
      <c r="W40" s="109">
        <f t="shared" si="4"/>
        <v>507152.94716666668</v>
      </c>
    </row>
    <row r="41" spans="1:23" ht="13.5" x14ac:dyDescent="0.2">
      <c r="A41" s="46" t="s">
        <v>65</v>
      </c>
      <c r="B41" s="36">
        <v>1059697.5007000002</v>
      </c>
      <c r="C41" s="36">
        <v>0</v>
      </c>
      <c r="D41" s="36">
        <v>99348.055750000087</v>
      </c>
      <c r="E41" s="36">
        <f t="shared" si="38"/>
        <v>99348.055750000087</v>
      </c>
      <c r="F41" s="36">
        <v>898310.81193000008</v>
      </c>
      <c r="G41" s="47">
        <v>280.81400000000002</v>
      </c>
      <c r="H41" s="48">
        <f t="shared" si="39"/>
        <v>2665794.2384460894</v>
      </c>
      <c r="I41" s="37">
        <f t="shared" si="40"/>
        <v>918219.93415999995</v>
      </c>
      <c r="J41" s="36">
        <v>918219.93415999995</v>
      </c>
      <c r="K41" s="36"/>
      <c r="L41" s="36"/>
      <c r="M41" s="36"/>
      <c r="N41" s="36"/>
      <c r="O41" s="36">
        <f t="shared" si="41"/>
        <v>0</v>
      </c>
      <c r="P41" s="36">
        <f t="shared" si="42"/>
        <v>79438.933520000195</v>
      </c>
      <c r="Q41" s="36">
        <f t="shared" si="43"/>
        <v>79438.933520000195</v>
      </c>
      <c r="R41" s="38">
        <f t="shared" si="44"/>
        <v>-19909.122229999892</v>
      </c>
      <c r="T41" s="20">
        <v>0</v>
      </c>
      <c r="U41" s="20">
        <v>1.1641532182693481E-10</v>
      </c>
      <c r="V41" s="20">
        <v>1.1641532182693481E-10</v>
      </c>
      <c r="W41" s="36">
        <f t="shared" si="4"/>
        <v>748592.34327500011</v>
      </c>
    </row>
    <row r="42" spans="1:23" ht="13.5" x14ac:dyDescent="0.2">
      <c r="A42" s="46" t="s">
        <v>66</v>
      </c>
      <c r="B42" s="36">
        <v>391.1414333333334</v>
      </c>
      <c r="C42" s="36">
        <v>0</v>
      </c>
      <c r="D42" s="36">
        <v>33.123139999999999</v>
      </c>
      <c r="E42" s="36">
        <f t="shared" si="38"/>
        <v>33.123139999999999</v>
      </c>
      <c r="F42" s="36">
        <v>210.26483000000002</v>
      </c>
      <c r="G42" s="47">
        <v>0.65500000000000003</v>
      </c>
      <c r="H42" s="48">
        <f t="shared" si="39"/>
        <v>267512.50636132318</v>
      </c>
      <c r="I42" s="37">
        <f t="shared" si="40"/>
        <v>213.46225000000004</v>
      </c>
      <c r="J42" s="36">
        <v>213.46225000000004</v>
      </c>
      <c r="K42" s="36"/>
      <c r="L42" s="36"/>
      <c r="M42" s="36"/>
      <c r="N42" s="36"/>
      <c r="O42" s="36">
        <f t="shared" si="41"/>
        <v>0</v>
      </c>
      <c r="P42" s="36">
        <f t="shared" si="42"/>
        <v>29.925719999999984</v>
      </c>
      <c r="Q42" s="36">
        <f t="shared" si="43"/>
        <v>29.925719999999984</v>
      </c>
      <c r="R42" s="38">
        <f t="shared" si="44"/>
        <v>-3.1974200000000152</v>
      </c>
      <c r="T42" s="20">
        <v>0</v>
      </c>
      <c r="U42" s="20">
        <v>0</v>
      </c>
      <c r="V42" s="20">
        <v>0</v>
      </c>
      <c r="W42" s="36">
        <f t="shared" si="4"/>
        <v>175.22069166666668</v>
      </c>
    </row>
    <row r="43" spans="1:23" ht="13.5" x14ac:dyDescent="0.2">
      <c r="A43" s="46" t="s">
        <v>67</v>
      </c>
      <c r="B43" s="36">
        <v>368867.7587583334</v>
      </c>
      <c r="C43" s="36">
        <v>0</v>
      </c>
      <c r="D43" s="36">
        <v>30410.922869999944</v>
      </c>
      <c r="E43" s="36">
        <f t="shared" si="38"/>
        <v>30410.922869999944</v>
      </c>
      <c r="F43" s="36">
        <v>689889.87255000009</v>
      </c>
      <c r="G43" s="47">
        <v>584.53</v>
      </c>
      <c r="H43" s="48">
        <f t="shared" si="39"/>
        <v>983539.30016423471</v>
      </c>
      <c r="I43" s="37">
        <f t="shared" si="40"/>
        <v>543381.29966999998</v>
      </c>
      <c r="J43" s="36">
        <v>543381.29966999998</v>
      </c>
      <c r="K43" s="36"/>
      <c r="L43" s="36"/>
      <c r="M43" s="36"/>
      <c r="N43" s="36"/>
      <c r="O43" s="36">
        <f t="shared" si="41"/>
        <v>0</v>
      </c>
      <c r="P43" s="36">
        <f t="shared" si="42"/>
        <v>176919.49575</v>
      </c>
      <c r="Q43" s="36">
        <f t="shared" si="43"/>
        <v>176919.49575</v>
      </c>
      <c r="R43" s="38">
        <f t="shared" si="44"/>
        <v>146508.57288000005</v>
      </c>
      <c r="T43" s="20">
        <v>0</v>
      </c>
      <c r="U43" s="20">
        <v>5.8207660913467407E-11</v>
      </c>
      <c r="V43" s="20">
        <v>5.8207660913467407E-11</v>
      </c>
      <c r="W43" s="36">
        <f t="shared" si="4"/>
        <v>574908.22712500009</v>
      </c>
    </row>
    <row r="44" spans="1:23" ht="13.5" x14ac:dyDescent="0.2">
      <c r="A44" s="46" t="s">
        <v>68</v>
      </c>
      <c r="B44" s="36">
        <v>2027378.5601166664</v>
      </c>
      <c r="C44" s="36">
        <v>0</v>
      </c>
      <c r="D44" s="36">
        <v>59315.274859999925</v>
      </c>
      <c r="E44" s="36">
        <f t="shared" si="38"/>
        <v>59315.274859999925</v>
      </c>
      <c r="F44" s="36">
        <v>47655.054550000001</v>
      </c>
      <c r="G44" s="47">
        <v>47.379000000000005</v>
      </c>
      <c r="H44" s="48">
        <f t="shared" si="39"/>
        <v>838188.76418525795</v>
      </c>
      <c r="I44" s="37">
        <f t="shared" si="40"/>
        <v>102218.92079</v>
      </c>
      <c r="J44" s="36">
        <v>102218.92079</v>
      </c>
      <c r="K44" s="36"/>
      <c r="L44" s="36"/>
      <c r="M44" s="36"/>
      <c r="N44" s="36"/>
      <c r="O44" s="36">
        <f t="shared" si="41"/>
        <v>0</v>
      </c>
      <c r="P44" s="36">
        <f t="shared" si="42"/>
        <v>4751.4086199999147</v>
      </c>
      <c r="Q44" s="36">
        <f t="shared" si="43"/>
        <v>4751.4086199999147</v>
      </c>
      <c r="R44" s="38">
        <f t="shared" si="44"/>
        <v>-54563.86624000001</v>
      </c>
      <c r="T44" s="20">
        <v>0</v>
      </c>
      <c r="U44" s="20">
        <v>2.3283064365386963E-10</v>
      </c>
      <c r="V44" s="20">
        <v>2.3283064365386963E-10</v>
      </c>
      <c r="W44" s="36">
        <f t="shared" si="4"/>
        <v>39712.545458333334</v>
      </c>
    </row>
    <row r="45" spans="1:23" ht="13.5" x14ac:dyDescent="0.2">
      <c r="A45" s="49" t="s">
        <v>69</v>
      </c>
      <c r="B45" s="50">
        <v>2621949.1363583338</v>
      </c>
      <c r="C45" s="50">
        <v>192.00649999999999</v>
      </c>
      <c r="D45" s="50">
        <v>294610.84637999954</v>
      </c>
      <c r="E45" s="50">
        <f t="shared" si="38"/>
        <v>294418.83987999952</v>
      </c>
      <c r="F45" s="50">
        <v>1083743.2449900005</v>
      </c>
      <c r="G45" s="51">
        <v>1318.394</v>
      </c>
      <c r="H45" s="52">
        <f t="shared" si="39"/>
        <v>685014.77617844171</v>
      </c>
      <c r="I45" s="53">
        <f t="shared" si="40"/>
        <v>1228584.8421500002</v>
      </c>
      <c r="J45" s="50">
        <v>1228584.8421500002</v>
      </c>
      <c r="K45" s="50"/>
      <c r="L45" s="50"/>
      <c r="M45" s="50"/>
      <c r="N45" s="50"/>
      <c r="O45" s="50">
        <f t="shared" si="41"/>
        <v>0</v>
      </c>
      <c r="P45" s="50">
        <f t="shared" si="42"/>
        <v>149577.24271999975</v>
      </c>
      <c r="Q45" s="50">
        <f t="shared" si="43"/>
        <v>149577.24271999975</v>
      </c>
      <c r="R45" s="54">
        <f t="shared" si="44"/>
        <v>-144841.59715999977</v>
      </c>
      <c r="T45" s="20">
        <v>0</v>
      </c>
      <c r="U45" s="20">
        <v>4.6566128730773926E-10</v>
      </c>
      <c r="V45" s="20">
        <v>4.6566128730773926E-10</v>
      </c>
      <c r="W45" s="50">
        <f t="shared" si="4"/>
        <v>903119.37082500046</v>
      </c>
    </row>
    <row r="46" spans="1:23" ht="13.5" x14ac:dyDescent="0.2">
      <c r="A46" s="55" t="s">
        <v>70</v>
      </c>
      <c r="B46" s="107">
        <v>180966.62648333338</v>
      </c>
      <c r="C46" s="56">
        <v>0</v>
      </c>
      <c r="D46" s="56">
        <v>51472.693680000019</v>
      </c>
      <c r="E46" s="57">
        <f t="shared" si="38"/>
        <v>51472.693680000019</v>
      </c>
      <c r="F46" s="56">
        <v>257596.12277999998</v>
      </c>
      <c r="G46" s="58">
        <v>109.43983500000002</v>
      </c>
      <c r="H46" s="59">
        <f>IF(G46=0,0,F46/G46/1.2)</f>
        <v>1961.4744087470522</v>
      </c>
      <c r="I46" s="57">
        <f t="shared" si="40"/>
        <v>175365.89040999999</v>
      </c>
      <c r="J46" s="56">
        <v>175365.89040999999</v>
      </c>
      <c r="K46" s="56"/>
      <c r="L46" s="56"/>
      <c r="M46" s="56"/>
      <c r="N46" s="56"/>
      <c r="O46" s="56">
        <f t="shared" si="41"/>
        <v>0</v>
      </c>
      <c r="P46" s="56">
        <f t="shared" si="42"/>
        <v>133702.92605000001</v>
      </c>
      <c r="Q46" s="56">
        <f t="shared" si="43"/>
        <v>133702.92605000001</v>
      </c>
      <c r="R46" s="60">
        <f t="shared" si="44"/>
        <v>82230.232369999983</v>
      </c>
      <c r="T46" s="20">
        <v>0</v>
      </c>
      <c r="U46" s="20">
        <v>0</v>
      </c>
      <c r="V46" s="20">
        <v>0</v>
      </c>
      <c r="W46" s="107">
        <f t="shared" si="4"/>
        <v>214663.43565</v>
      </c>
    </row>
    <row r="47" spans="1:23" ht="13.5" x14ac:dyDescent="0.2">
      <c r="A47" s="61" t="s">
        <v>71</v>
      </c>
      <c r="B47" s="107">
        <v>105211.54347500001</v>
      </c>
      <c r="C47" s="56">
        <v>0</v>
      </c>
      <c r="D47" s="56">
        <v>24355.745020000024</v>
      </c>
      <c r="E47" s="57">
        <f t="shared" si="38"/>
        <v>24355.745020000024</v>
      </c>
      <c r="F47" s="56">
        <v>162946.22220999998</v>
      </c>
      <c r="G47" s="58">
        <v>46.590900000000005</v>
      </c>
      <c r="H47" s="59">
        <f>IF(G47=0,0,F47/G47/1.2)</f>
        <v>2914.4858439809773</v>
      </c>
      <c r="I47" s="57">
        <f t="shared" si="40"/>
        <v>106710.59742000002</v>
      </c>
      <c r="J47" s="56">
        <v>106710.59742000002</v>
      </c>
      <c r="K47" s="56"/>
      <c r="L47" s="56"/>
      <c r="M47" s="56"/>
      <c r="N47" s="56"/>
      <c r="O47" s="56">
        <f t="shared" si="41"/>
        <v>0</v>
      </c>
      <c r="P47" s="56">
        <f t="shared" si="42"/>
        <v>80591.369809999989</v>
      </c>
      <c r="Q47" s="56">
        <f t="shared" si="43"/>
        <v>80591.369809999989</v>
      </c>
      <c r="R47" s="60">
        <f t="shared" si="44"/>
        <v>56235.624789999965</v>
      </c>
      <c r="T47" s="20">
        <v>0</v>
      </c>
      <c r="U47" s="20">
        <v>0</v>
      </c>
      <c r="V47" s="20">
        <v>0</v>
      </c>
      <c r="W47" s="107">
        <f t="shared" si="4"/>
        <v>135788.51850833333</v>
      </c>
    </row>
    <row r="48" spans="1:23" ht="13.5" x14ac:dyDescent="0.2">
      <c r="A48" s="55" t="s">
        <v>72</v>
      </c>
      <c r="B48" s="107">
        <v>128403.17557466667</v>
      </c>
      <c r="C48" s="56">
        <v>0</v>
      </c>
      <c r="D48" s="56">
        <v>18381.841919600047</v>
      </c>
      <c r="E48" s="57">
        <f t="shared" si="38"/>
        <v>18381.841919600047</v>
      </c>
      <c r="F48" s="56">
        <v>151251.89561096</v>
      </c>
      <c r="G48" s="58">
        <v>145.202</v>
      </c>
      <c r="H48" s="62">
        <f>IF(G48=0,0,F48/G48/1.2*1000)</f>
        <v>868054.47819221951</v>
      </c>
      <c r="I48" s="57">
        <f t="shared" si="40"/>
        <v>0</v>
      </c>
      <c r="J48" s="56">
        <v>0</v>
      </c>
      <c r="K48" s="56"/>
      <c r="L48" s="56"/>
      <c r="M48" s="56"/>
      <c r="N48" s="56"/>
      <c r="O48" s="56">
        <f t="shared" si="41"/>
        <v>0</v>
      </c>
      <c r="P48" s="56">
        <f t="shared" si="42"/>
        <v>169633.73753056006</v>
      </c>
      <c r="Q48" s="56">
        <f t="shared" si="43"/>
        <v>169633.73753056006</v>
      </c>
      <c r="R48" s="60">
        <f t="shared" si="44"/>
        <v>151251.89561096003</v>
      </c>
      <c r="T48" s="20">
        <v>0</v>
      </c>
      <c r="U48" s="20">
        <v>0</v>
      </c>
      <c r="V48" s="20">
        <v>0</v>
      </c>
      <c r="W48" s="107">
        <f t="shared" si="4"/>
        <v>126043.24634246666</v>
      </c>
    </row>
    <row r="49" spans="1:23" ht="13.5" x14ac:dyDescent="0.2">
      <c r="A49" s="61" t="s">
        <v>73</v>
      </c>
      <c r="B49" s="107">
        <v>11646.616550000001</v>
      </c>
      <c r="C49" s="56">
        <v>0</v>
      </c>
      <c r="D49" s="56">
        <v>1583.8228899999999</v>
      </c>
      <c r="E49" s="57">
        <f>D49-C49</f>
        <v>1583.8228899999999</v>
      </c>
      <c r="F49" s="56">
        <v>12525.10871</v>
      </c>
      <c r="G49" s="58">
        <v>11.93</v>
      </c>
      <c r="H49" s="62">
        <f>IF(G49=0,0,F49/G49/1.2*1000)</f>
        <v>874902.81573065114</v>
      </c>
      <c r="I49" s="57">
        <f t="shared" si="40"/>
        <v>12496.824130000001</v>
      </c>
      <c r="J49" s="56">
        <v>12496.824130000001</v>
      </c>
      <c r="K49" s="56"/>
      <c r="L49" s="56"/>
      <c r="M49" s="56"/>
      <c r="N49" s="56"/>
      <c r="O49" s="56">
        <f>IF(Q49&lt;0,-Q49,0)</f>
        <v>0</v>
      </c>
      <c r="P49" s="56">
        <f>Q49+O49</f>
        <v>1612.107469999999</v>
      </c>
      <c r="Q49" s="56">
        <f t="shared" si="43"/>
        <v>1612.107469999999</v>
      </c>
      <c r="R49" s="60">
        <f>Q49-E49</f>
        <v>28.284579999999096</v>
      </c>
      <c r="T49" s="20">
        <v>0</v>
      </c>
      <c r="U49" s="20">
        <v>-1.8189894035458565E-12</v>
      </c>
      <c r="V49" s="20">
        <v>-1.8189894035458565E-12</v>
      </c>
      <c r="W49" s="107">
        <f t="shared" si="4"/>
        <v>10437.590591666667</v>
      </c>
    </row>
    <row r="50" spans="1:23" ht="13.5" x14ac:dyDescent="0.2">
      <c r="A50" s="63" t="s">
        <v>74</v>
      </c>
      <c r="B50" s="64">
        <v>119334.95518333335</v>
      </c>
      <c r="C50" s="64">
        <f>SUM(C51:C54)</f>
        <v>0</v>
      </c>
      <c r="D50" s="64">
        <f>SUM(D51:D54)</f>
        <v>10183.904299999997</v>
      </c>
      <c r="E50" s="64">
        <f>SUM(E51:E54)</f>
        <v>10183.904299999997</v>
      </c>
      <c r="F50" s="64">
        <f>SUM(F51:F54)</f>
        <v>132155.07247000001</v>
      </c>
      <c r="G50" s="64">
        <f>SUM(G51:G54)</f>
        <v>65212.343062999993</v>
      </c>
      <c r="H50" s="65">
        <f>IF(G50=0," ",F50/G50/1.2)</f>
        <v>1.6887788704653703</v>
      </c>
      <c r="I50" s="64">
        <f>SUM(I51:I54)</f>
        <v>132262.90439000001</v>
      </c>
      <c r="J50" s="64">
        <v>132262.90439000001</v>
      </c>
      <c r="K50" s="64">
        <f t="shared" ref="K50:R50" si="45">SUM(K51:K54)</f>
        <v>0</v>
      </c>
      <c r="L50" s="64">
        <f t="shared" si="45"/>
        <v>0</v>
      </c>
      <c r="M50" s="64">
        <f t="shared" si="45"/>
        <v>0</v>
      </c>
      <c r="N50" s="64">
        <f t="shared" si="45"/>
        <v>0</v>
      </c>
      <c r="O50" s="64">
        <f t="shared" si="45"/>
        <v>0</v>
      </c>
      <c r="P50" s="64">
        <f t="shared" si="45"/>
        <v>10076.072379999983</v>
      </c>
      <c r="Q50" s="64">
        <f t="shared" si="45"/>
        <v>10076.072379999983</v>
      </c>
      <c r="R50" s="66">
        <f t="shared" si="45"/>
        <v>-107.83192000001489</v>
      </c>
      <c r="T50" s="20">
        <v>0</v>
      </c>
      <c r="U50" s="20">
        <v>0</v>
      </c>
      <c r="V50" s="20">
        <v>0</v>
      </c>
      <c r="W50" s="64">
        <f t="shared" si="4"/>
        <v>110129.22705833334</v>
      </c>
    </row>
    <row r="51" spans="1:23" ht="13.5" x14ac:dyDescent="0.2">
      <c r="A51" s="46" t="s">
        <v>75</v>
      </c>
      <c r="B51" s="36">
        <v>59956.780516666673</v>
      </c>
      <c r="C51" s="36">
        <v>0</v>
      </c>
      <c r="D51" s="36">
        <v>6681.7323799999986</v>
      </c>
      <c r="E51" s="36">
        <f>D51-C51</f>
        <v>6681.7323799999986</v>
      </c>
      <c r="F51" s="36">
        <v>65304.718240000009</v>
      </c>
      <c r="G51" s="37">
        <v>21865.053338999998</v>
      </c>
      <c r="H51" s="67">
        <f>IF(G51=0,0,F51/G51/1.2)</f>
        <v>2.4889305180090759</v>
      </c>
      <c r="I51" s="37">
        <f t="shared" ref="I51:I54" si="46">SUM(J51:L51)</f>
        <v>65491.620620000009</v>
      </c>
      <c r="J51" s="36">
        <v>65491.620620000009</v>
      </c>
      <c r="K51" s="36"/>
      <c r="L51" s="36"/>
      <c r="M51" s="36"/>
      <c r="N51" s="36"/>
      <c r="O51" s="36">
        <f>IF(Q51&lt;0,-Q51,0)</f>
        <v>0</v>
      </c>
      <c r="P51" s="36">
        <f>Q51+O51</f>
        <v>6494.8299999999945</v>
      </c>
      <c r="Q51" s="36">
        <f t="shared" ref="Q51:Q54" si="47">E51+F51-I51-M51-N51</f>
        <v>6494.8299999999945</v>
      </c>
      <c r="R51" s="38">
        <f>Q51-E51</f>
        <v>-186.90238000000409</v>
      </c>
      <c r="T51" s="20">
        <v>0</v>
      </c>
      <c r="U51" s="20">
        <v>7.2759576141834259E-12</v>
      </c>
      <c r="V51" s="20">
        <v>7.2759576141834259E-12</v>
      </c>
      <c r="W51" s="36">
        <f t="shared" si="4"/>
        <v>54420.598533333345</v>
      </c>
    </row>
    <row r="52" spans="1:23" ht="13.5" x14ac:dyDescent="0.2">
      <c r="A52" s="46" t="s">
        <v>76</v>
      </c>
      <c r="B52" s="36">
        <v>11872.90521666667</v>
      </c>
      <c r="C52" s="36">
        <v>0</v>
      </c>
      <c r="D52" s="36">
        <v>844.41435000000035</v>
      </c>
      <c r="E52" s="36">
        <f>D52-C52</f>
        <v>844.41435000000035</v>
      </c>
      <c r="F52" s="36">
        <v>12842.049320000002</v>
      </c>
      <c r="G52" s="37">
        <v>21673.644861999997</v>
      </c>
      <c r="H52" s="67">
        <f>IF(G52=0,0,F52/G52/1.2)</f>
        <v>0.49376594637433485</v>
      </c>
      <c r="I52" s="37">
        <f t="shared" si="46"/>
        <v>12828.954889999999</v>
      </c>
      <c r="J52" s="36">
        <v>12828.954889999999</v>
      </c>
      <c r="K52" s="36"/>
      <c r="L52" s="36"/>
      <c r="M52" s="36"/>
      <c r="N52" s="36"/>
      <c r="O52" s="36">
        <f>IF(Q52&lt;0,-Q52,0)</f>
        <v>0</v>
      </c>
      <c r="P52" s="36">
        <f>Q52+O52</f>
        <v>857.50878000000375</v>
      </c>
      <c r="Q52" s="36">
        <f t="shared" si="47"/>
        <v>857.50878000000375</v>
      </c>
      <c r="R52" s="38">
        <f>Q52-E52</f>
        <v>13.094430000003399</v>
      </c>
      <c r="T52" s="20">
        <v>0</v>
      </c>
      <c r="U52" s="20">
        <v>-9.0949470177292824E-13</v>
      </c>
      <c r="V52" s="20">
        <v>-9.0949470177292824E-13</v>
      </c>
      <c r="W52" s="36">
        <f t="shared" si="4"/>
        <v>10701.707766666668</v>
      </c>
    </row>
    <row r="53" spans="1:23" ht="13.5" x14ac:dyDescent="0.2">
      <c r="A53" s="46" t="s">
        <v>77</v>
      </c>
      <c r="B53" s="36">
        <v>47369.102783333328</v>
      </c>
      <c r="C53" s="36">
        <v>0</v>
      </c>
      <c r="D53" s="36">
        <v>2644.8575699999992</v>
      </c>
      <c r="E53" s="36">
        <f>D53-C53</f>
        <v>2644.8575699999992</v>
      </c>
      <c r="F53" s="36">
        <v>53853.264909999991</v>
      </c>
      <c r="G53" s="37">
        <v>21673.644861999997</v>
      </c>
      <c r="H53" s="67">
        <f>IF(G53=0,0,F53/G53/1.2)</f>
        <v>2.0706125362890213</v>
      </c>
      <c r="I53" s="37">
        <f t="shared" si="46"/>
        <v>53795.888880000006</v>
      </c>
      <c r="J53" s="36">
        <v>53795.888880000006</v>
      </c>
      <c r="K53" s="36"/>
      <c r="L53" s="36"/>
      <c r="M53" s="36"/>
      <c r="N53" s="36"/>
      <c r="O53" s="36">
        <f>IF(Q53&lt;0,-Q53,0)</f>
        <v>0</v>
      </c>
      <c r="P53" s="36">
        <f>Q53+O53</f>
        <v>2702.233599999985</v>
      </c>
      <c r="Q53" s="36">
        <f t="shared" si="47"/>
        <v>2702.233599999985</v>
      </c>
      <c r="R53" s="38">
        <f>Q53-E53</f>
        <v>57.376029999985803</v>
      </c>
      <c r="T53" s="20">
        <v>0</v>
      </c>
      <c r="U53" s="20">
        <v>3.637978807091713E-12</v>
      </c>
      <c r="V53" s="20">
        <v>3.637978807091713E-12</v>
      </c>
      <c r="W53" s="36">
        <f t="shared" si="4"/>
        <v>44877.720758333329</v>
      </c>
    </row>
    <row r="54" spans="1:23" ht="14.25" thickBot="1" x14ac:dyDescent="0.25">
      <c r="A54" s="49" t="s">
        <v>78</v>
      </c>
      <c r="B54" s="36">
        <v>136.16666666666669</v>
      </c>
      <c r="C54" s="36">
        <v>0</v>
      </c>
      <c r="D54" s="36">
        <v>12.9</v>
      </c>
      <c r="E54" s="50">
        <f>D54-C54</f>
        <v>12.9</v>
      </c>
      <c r="F54" s="68">
        <v>155.04000000000002</v>
      </c>
      <c r="G54" s="53">
        <v>0</v>
      </c>
      <c r="H54" s="69"/>
      <c r="I54" s="53">
        <f t="shared" si="46"/>
        <v>146.44000000000003</v>
      </c>
      <c r="J54" s="68">
        <v>146.44000000000003</v>
      </c>
      <c r="K54" s="68"/>
      <c r="L54" s="68"/>
      <c r="M54" s="68"/>
      <c r="N54" s="68"/>
      <c r="O54" s="50">
        <f>IF(Q54&lt;0,-Q54,0)</f>
        <v>0</v>
      </c>
      <c r="P54" s="50">
        <f>Q54+O54</f>
        <v>21.5</v>
      </c>
      <c r="Q54" s="50">
        <f t="shared" si="47"/>
        <v>21.5</v>
      </c>
      <c r="R54" s="54">
        <f>Q54-E54</f>
        <v>8.6</v>
      </c>
      <c r="T54" s="20">
        <v>0</v>
      </c>
      <c r="U54" s="20">
        <v>0</v>
      </c>
      <c r="V54" s="20">
        <v>0</v>
      </c>
      <c r="W54" s="68">
        <f t="shared" si="4"/>
        <v>129.20000000000002</v>
      </c>
    </row>
    <row r="55" spans="1:23" ht="14.25" thickBot="1" x14ac:dyDescent="0.25">
      <c r="A55" s="70" t="s">
        <v>79</v>
      </c>
      <c r="B55" s="71">
        <v>348075.27193333331</v>
      </c>
      <c r="C55" s="71">
        <f>C56+C59</f>
        <v>58037.775869999998</v>
      </c>
      <c r="D55" s="72">
        <f>D56+D59</f>
        <v>17.93563</v>
      </c>
      <c r="E55" s="72">
        <f>E56+E59</f>
        <v>58019.840239999998</v>
      </c>
      <c r="F55" s="72">
        <f>F56+F59</f>
        <v>907890.91797000007</v>
      </c>
      <c r="G55" s="72">
        <f>G56+G59</f>
        <v>508.45396499999993</v>
      </c>
      <c r="H55" s="73">
        <f>IF(G55=0," ",F55/G55/1.2)</f>
        <v>1487.9926543104059</v>
      </c>
      <c r="I55" s="72">
        <f t="shared" ref="I55:R55" si="48">I56+I59</f>
        <v>869034.23587000009</v>
      </c>
      <c r="J55" s="72">
        <f t="shared" si="48"/>
        <v>869034.23587000009</v>
      </c>
      <c r="K55" s="72">
        <f t="shared" si="48"/>
        <v>0</v>
      </c>
      <c r="L55" s="72">
        <f t="shared" si="48"/>
        <v>0</v>
      </c>
      <c r="M55" s="72">
        <f t="shared" si="48"/>
        <v>0</v>
      </c>
      <c r="N55" s="72">
        <f t="shared" si="48"/>
        <v>0</v>
      </c>
      <c r="O55" s="72">
        <f t="shared" si="48"/>
        <v>99786.633920000124</v>
      </c>
      <c r="P55" s="72">
        <f t="shared" si="48"/>
        <v>2910.1115800000043</v>
      </c>
      <c r="Q55" s="72">
        <f t="shared" si="48"/>
        <v>96876.522340000112</v>
      </c>
      <c r="R55" s="74">
        <f t="shared" si="48"/>
        <v>38856.682100000115</v>
      </c>
      <c r="T55" s="20">
        <v>-5.8207660913467407E-11</v>
      </c>
      <c r="U55" s="20">
        <v>0</v>
      </c>
      <c r="V55" s="20">
        <v>0</v>
      </c>
      <c r="W55" s="72">
        <f t="shared" si="4"/>
        <v>756575.76497500006</v>
      </c>
    </row>
    <row r="56" spans="1:23" ht="13.5" x14ac:dyDescent="0.2">
      <c r="A56" s="16" t="s">
        <v>80</v>
      </c>
      <c r="B56" s="17">
        <v>344697.34769999998</v>
      </c>
      <c r="C56" s="17">
        <f>C57+C58</f>
        <v>51650.371879999999</v>
      </c>
      <c r="D56" s="17">
        <f>D57+D58</f>
        <v>0</v>
      </c>
      <c r="E56" s="17">
        <f>E57+E58</f>
        <v>51650.371879999999</v>
      </c>
      <c r="F56" s="17">
        <f>SUM(F57:F58)</f>
        <v>899691.92666000011</v>
      </c>
      <c r="G56" s="17">
        <f>SUM(G57:G58)</f>
        <v>508.45396499999993</v>
      </c>
      <c r="H56" s="75">
        <f>IF(G56=0," ",F56/G56/1.2)</f>
        <v>1474.5548738452003</v>
      </c>
      <c r="I56" s="17">
        <f t="shared" ref="I56:N56" si="49">SUM(I57:I58)</f>
        <v>860766.92471000005</v>
      </c>
      <c r="J56" s="17">
        <f t="shared" si="49"/>
        <v>860766.92471000005</v>
      </c>
      <c r="K56" s="17">
        <f t="shared" si="49"/>
        <v>0</v>
      </c>
      <c r="L56" s="17">
        <f t="shared" si="49"/>
        <v>0</v>
      </c>
      <c r="M56" s="17">
        <f t="shared" si="49"/>
        <v>0</v>
      </c>
      <c r="N56" s="17">
        <f t="shared" si="49"/>
        <v>0</v>
      </c>
      <c r="O56" s="17">
        <f>O57+O58</f>
        <v>93467.549780000118</v>
      </c>
      <c r="P56" s="17">
        <f>P57+P58</f>
        <v>2892.1759500000044</v>
      </c>
      <c r="Q56" s="17">
        <f>Q57+Q58</f>
        <v>90575.373830000113</v>
      </c>
      <c r="R56" s="19">
        <f>R57+R58</f>
        <v>38925.001950000114</v>
      </c>
      <c r="T56" s="20">
        <v>-5.8207660913467407E-11</v>
      </c>
      <c r="U56" s="20">
        <v>0</v>
      </c>
      <c r="V56" s="20">
        <v>0</v>
      </c>
      <c r="W56" s="17">
        <f t="shared" si="4"/>
        <v>749743.27221666684</v>
      </c>
    </row>
    <row r="57" spans="1:23" ht="13.5" x14ac:dyDescent="0.25">
      <c r="A57" s="76" t="s">
        <v>81</v>
      </c>
      <c r="B57" s="36">
        <v>1.1999999999999999E-2</v>
      </c>
      <c r="C57" s="36">
        <v>1.49E-3</v>
      </c>
      <c r="D57" s="36">
        <v>0</v>
      </c>
      <c r="E57" s="77">
        <f>C57-D57</f>
        <v>1.49E-3</v>
      </c>
      <c r="F57" s="36">
        <v>224368.68191000001</v>
      </c>
      <c r="G57" s="37">
        <v>150.09985299999997</v>
      </c>
      <c r="H57" s="18">
        <f>IF(G57=0,0,F57/G57/1.2)</f>
        <v>1245.6634557241487</v>
      </c>
      <c r="I57" s="37">
        <f t="shared" ref="I57:I59" si="50">SUM(J57:L57)</f>
        <v>227260.85935000001</v>
      </c>
      <c r="J57" s="36">
        <v>227260.85935000001</v>
      </c>
      <c r="K57" s="36"/>
      <c r="L57" s="36"/>
      <c r="M57" s="36"/>
      <c r="N57" s="36"/>
      <c r="O57" s="78">
        <f t="shared" ref="O57:O58" si="51">Q57+P57</f>
        <v>0</v>
      </c>
      <c r="P57" s="77">
        <f>IF(Q57&lt;0,-Q57,0)</f>
        <v>2892.1759500000044</v>
      </c>
      <c r="Q57" s="36">
        <f>E57+F57-I57-M57-N57</f>
        <v>-2892.1759500000044</v>
      </c>
      <c r="R57" s="38">
        <f>Q57-E57</f>
        <v>-2892.1774400000045</v>
      </c>
      <c r="T57" s="20">
        <v>-1.7347234759768071E-18</v>
      </c>
      <c r="U57" s="20">
        <v>0</v>
      </c>
      <c r="V57" s="20">
        <v>-4.3368086899420177E-18</v>
      </c>
      <c r="W57" s="36">
        <f t="shared" si="4"/>
        <v>186973.90159166668</v>
      </c>
    </row>
    <row r="58" spans="1:23" ht="13.5" x14ac:dyDescent="0.25">
      <c r="A58" s="76" t="s">
        <v>82</v>
      </c>
      <c r="B58" s="36">
        <v>344697.3357</v>
      </c>
      <c r="C58" s="36">
        <v>51650.370389999996</v>
      </c>
      <c r="D58" s="36">
        <v>0</v>
      </c>
      <c r="E58" s="77">
        <f>C58-D58</f>
        <v>51650.370389999996</v>
      </c>
      <c r="F58" s="36">
        <v>675323.24475000007</v>
      </c>
      <c r="G58" s="37">
        <v>358.35411199999999</v>
      </c>
      <c r="H58" s="18">
        <f>IF(G58=0,0,F58/G58/1.2)</f>
        <v>1570.428109458948</v>
      </c>
      <c r="I58" s="37">
        <f t="shared" si="50"/>
        <v>633506.06536000001</v>
      </c>
      <c r="J58" s="36">
        <v>633506.06536000001</v>
      </c>
      <c r="K58" s="36"/>
      <c r="L58" s="36"/>
      <c r="M58" s="36"/>
      <c r="N58" s="36"/>
      <c r="O58" s="78">
        <f t="shared" si="51"/>
        <v>93467.549780000118</v>
      </c>
      <c r="P58" s="77">
        <f t="shared" ref="P58" si="52">IF(Q58&lt;0,-Q58,0)</f>
        <v>0</v>
      </c>
      <c r="Q58" s="36">
        <f t="shared" ref="Q58:Q61" si="53">E58+F58-I58-M58-N58</f>
        <v>93467.549780000118</v>
      </c>
      <c r="R58" s="38">
        <f>Q58-E58</f>
        <v>41817.179390000121</v>
      </c>
      <c r="T58" s="20">
        <v>-5.8207660913467407E-11</v>
      </c>
      <c r="U58" s="20">
        <v>0</v>
      </c>
      <c r="V58" s="20">
        <v>0</v>
      </c>
      <c r="W58" s="36">
        <f t="shared" si="4"/>
        <v>562769.3706250001</v>
      </c>
    </row>
    <row r="59" spans="1:23" ht="14.25" thickBot="1" x14ac:dyDescent="0.3">
      <c r="A59" s="79" t="s">
        <v>83</v>
      </c>
      <c r="B59" s="80">
        <v>3377.9242333333332</v>
      </c>
      <c r="C59" s="80">
        <v>6387.4039900000007</v>
      </c>
      <c r="D59" s="80">
        <v>17.93563</v>
      </c>
      <c r="E59" s="81">
        <f>C59-D59</f>
        <v>6369.4683600000008</v>
      </c>
      <c r="F59" s="82">
        <v>8198.9913099999994</v>
      </c>
      <c r="G59" s="83">
        <v>0</v>
      </c>
      <c r="H59" s="84"/>
      <c r="I59" s="83">
        <f t="shared" si="50"/>
        <v>8267.3111599999993</v>
      </c>
      <c r="J59" s="82">
        <v>8267.3111599999993</v>
      </c>
      <c r="K59" s="82"/>
      <c r="L59" s="82"/>
      <c r="M59" s="82"/>
      <c r="N59" s="82"/>
      <c r="O59" s="85">
        <f>Q59+P59</f>
        <v>6319.0841400000008</v>
      </c>
      <c r="P59" s="86">
        <v>17.93563</v>
      </c>
      <c r="Q59" s="80">
        <f t="shared" si="53"/>
        <v>6301.1485100000009</v>
      </c>
      <c r="R59" s="87">
        <f>Q59-E59</f>
        <v>-68.31984999999986</v>
      </c>
      <c r="T59" s="20">
        <v>0</v>
      </c>
      <c r="U59" s="20">
        <v>0</v>
      </c>
      <c r="V59" s="20">
        <v>0</v>
      </c>
      <c r="W59" s="82">
        <f t="shared" si="4"/>
        <v>6832.4927583333329</v>
      </c>
    </row>
    <row r="60" spans="1:23" ht="14.25" thickBot="1" x14ac:dyDescent="0.3">
      <c r="A60" s="88" t="s">
        <v>84</v>
      </c>
      <c r="B60" s="89">
        <v>31582.552458333335</v>
      </c>
      <c r="C60" s="89">
        <v>0</v>
      </c>
      <c r="D60" s="89">
        <v>4883.2616499999986</v>
      </c>
      <c r="E60" s="90">
        <f>C60-D60</f>
        <v>-4883.2616499999986</v>
      </c>
      <c r="F60" s="91">
        <v>52119.314570000002</v>
      </c>
      <c r="G60" s="92">
        <v>0</v>
      </c>
      <c r="H60" s="93"/>
      <c r="I60" s="92">
        <f t="shared" ref="I60:I61" si="54">SUM(J60:L60)</f>
        <v>53074.82159</v>
      </c>
      <c r="J60" s="91">
        <v>53074.82159</v>
      </c>
      <c r="K60" s="91"/>
      <c r="L60" s="91"/>
      <c r="M60" s="91"/>
      <c r="N60" s="91"/>
      <c r="O60" s="94">
        <f>Q60+P60</f>
        <v>-5819.8330399999977</v>
      </c>
      <c r="P60" s="94">
        <v>18.93563</v>
      </c>
      <c r="Q60" s="89">
        <f t="shared" si="53"/>
        <v>-5838.7686699999977</v>
      </c>
      <c r="R60" s="95">
        <f>Q60-E60</f>
        <v>-955.5070199999991</v>
      </c>
      <c r="W60" s="91">
        <f t="shared" si="4"/>
        <v>43432.762141666673</v>
      </c>
    </row>
    <row r="61" spans="1:23" ht="14.25" thickBot="1" x14ac:dyDescent="0.3">
      <c r="A61" s="88" t="s">
        <v>85</v>
      </c>
      <c r="B61" s="89"/>
      <c r="C61" s="89">
        <v>0</v>
      </c>
      <c r="D61" s="89">
        <v>0</v>
      </c>
      <c r="E61" s="90">
        <f>C61-D61</f>
        <v>0</v>
      </c>
      <c r="F61" s="91">
        <v>87.29294999999999</v>
      </c>
      <c r="G61" s="92">
        <v>3.7941999999999996</v>
      </c>
      <c r="H61" s="93"/>
      <c r="I61" s="92">
        <f t="shared" si="54"/>
        <v>77.060149999999993</v>
      </c>
      <c r="J61" s="91">
        <v>77.060149999999993</v>
      </c>
      <c r="K61" s="91"/>
      <c r="L61" s="91"/>
      <c r="M61" s="91"/>
      <c r="N61" s="91"/>
      <c r="O61" s="94">
        <f>Q61+P61</f>
        <v>30.168429999999997</v>
      </c>
      <c r="P61" s="94">
        <v>19.93563</v>
      </c>
      <c r="Q61" s="89">
        <f t="shared" si="53"/>
        <v>10.232799999999997</v>
      </c>
      <c r="R61" s="95">
        <f>Q61-E61</f>
        <v>10.232799999999997</v>
      </c>
      <c r="W61" s="91">
        <f t="shared" si="4"/>
        <v>72.744124999999997</v>
      </c>
    </row>
    <row r="63" spans="1:23" x14ac:dyDescent="0.2">
      <c r="F63" s="10"/>
      <c r="G63" s="10"/>
      <c r="H63" s="96"/>
      <c r="I63" s="10"/>
      <c r="W63" s="10"/>
    </row>
    <row r="65" spans="6:23" x14ac:dyDescent="0.2">
      <c r="F65" s="10"/>
      <c r="G65" s="10"/>
      <c r="H65" s="96"/>
      <c r="I65" s="10"/>
      <c r="W65" s="10"/>
    </row>
    <row r="66" spans="6:23" x14ac:dyDescent="0.2">
      <c r="F66" s="10"/>
      <c r="G66" s="10"/>
      <c r="H66" s="96"/>
      <c r="I66" s="10"/>
      <c r="W66" s="10"/>
    </row>
    <row r="67" spans="6:23" x14ac:dyDescent="0.2">
      <c r="F67" s="11"/>
      <c r="G67" s="11"/>
      <c r="H67" s="96"/>
      <c r="I67" s="10"/>
      <c r="W67" s="11"/>
    </row>
    <row r="69" spans="6:23" x14ac:dyDescent="0.2">
      <c r="F69" s="10"/>
      <c r="G69" s="10"/>
      <c r="H69" s="96"/>
      <c r="I69" s="10"/>
      <c r="L69" s="96"/>
      <c r="M69" s="10"/>
      <c r="W69" s="10"/>
    </row>
    <row r="71" spans="6:23" x14ac:dyDescent="0.2">
      <c r="F71" s="11"/>
      <c r="G71" s="11"/>
      <c r="H71" s="96"/>
      <c r="I71" s="10"/>
      <c r="W71" s="11"/>
    </row>
    <row r="72" spans="6:23" x14ac:dyDescent="0.2">
      <c r="F72" s="11"/>
      <c r="G72" s="11"/>
      <c r="H72" s="96"/>
      <c r="I72" s="10"/>
      <c r="W72" s="11"/>
    </row>
    <row r="75" spans="6:23" x14ac:dyDescent="0.2">
      <c r="F75" s="11"/>
      <c r="G75" s="11"/>
      <c r="H75" s="96"/>
      <c r="I75" s="10"/>
      <c r="L75" s="11"/>
      <c r="M75" s="11"/>
      <c r="W75" s="11"/>
    </row>
    <row r="76" spans="6:23" x14ac:dyDescent="0.2">
      <c r="L76" s="11"/>
      <c r="M76" s="11"/>
    </row>
    <row r="77" spans="6:23" x14ac:dyDescent="0.2">
      <c r="F77" s="10"/>
      <c r="G77" s="10"/>
      <c r="H77" s="96"/>
      <c r="I77" s="10"/>
      <c r="W77" s="10"/>
    </row>
    <row r="78" spans="6:23" x14ac:dyDescent="0.2">
      <c r="F78" s="11"/>
      <c r="G78" s="11"/>
      <c r="H78" s="96"/>
      <c r="I78" s="10"/>
      <c r="L78" s="11"/>
      <c r="M78" s="11"/>
      <c r="W78" s="11"/>
    </row>
    <row r="80" spans="6:23" x14ac:dyDescent="0.2">
      <c r="F80" s="11"/>
      <c r="G80" s="11"/>
      <c r="H80" s="96"/>
      <c r="I80" s="10"/>
      <c r="L80" s="11"/>
      <c r="M80" s="11"/>
      <c r="W80" s="11"/>
    </row>
    <row r="81" spans="6:23" x14ac:dyDescent="0.2">
      <c r="F81" s="11"/>
      <c r="G81" s="11"/>
      <c r="H81" s="96"/>
      <c r="I81" s="10"/>
      <c r="L81" s="11"/>
      <c r="M81" s="11"/>
      <c r="W81" s="11"/>
    </row>
    <row r="82" spans="6:23" x14ac:dyDescent="0.2">
      <c r="L82" s="11"/>
      <c r="M82" s="11"/>
    </row>
    <row r="83" spans="6:23" x14ac:dyDescent="0.2">
      <c r="F83" s="11"/>
      <c r="G83" s="11"/>
      <c r="W83" s="11"/>
    </row>
    <row r="84" spans="6:23" x14ac:dyDescent="0.2">
      <c r="G84" s="11"/>
    </row>
  </sheetData>
  <mergeCells count="1">
    <mergeCell ref="C2:W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ДО2 факт 2025г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 Елена Юрьевна</dc:creator>
  <cp:lastModifiedBy>Samokhvalova Irina</cp:lastModifiedBy>
  <dcterms:created xsi:type="dcterms:W3CDTF">2015-06-05T18:19:34Z</dcterms:created>
  <dcterms:modified xsi:type="dcterms:W3CDTF">2026-06-02T00:52:51Z</dcterms:modified>
</cp:coreProperties>
</file>